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200" activeTab="7"/>
  </bookViews>
  <sheets>
    <sheet name="1（定）报住建部底数" sheetId="1" r:id="rId1"/>
    <sheet name="1(定)" sheetId="2" state="hidden" r:id="rId2"/>
    <sheet name="1(定) (2)" sheetId="3" state="hidden" r:id="rId3"/>
    <sheet name="2(定)" sheetId="4" state="hidden" r:id="rId4"/>
    <sheet name="2保障性租赁住房发展情况分城市统计表" sheetId="5" r:id="rId5"/>
    <sheet name="3 (定) " sheetId="6" r:id="rId6"/>
    <sheet name="4 (定)" sheetId="7" r:id="rId7"/>
    <sheet name="5 （定）" sheetId="8" r:id="rId8"/>
    <sheet name="4（定）（报住建部数据）" sheetId="9" state="hidden" r:id="rId9"/>
    <sheet name="2(定) (给领导）" sheetId="10" state="hidden" r:id="rId10"/>
    <sheet name="进展情况描述 " sheetId="11" state="hidden" r:id="rId11"/>
    <sheet name="1(定) +加市直1000" sheetId="12" state="hidden" r:id="rId12"/>
    <sheet name="1(定)  (2)-报住建部版" sheetId="13" state="hidden" r:id="rId13"/>
    <sheet name="Sheet1" sheetId="14" state="hidden" r:id="rId14"/>
  </sheets>
  <definedNames>
    <definedName name="_xlnm.Print_Area" localSheetId="1">'1(定)'!$O$3:$W$25</definedName>
    <definedName name="_xlnm.Print_Area" localSheetId="12">'1(定)  (2)-报住建部版'!$A$1:$N$26</definedName>
    <definedName name="_xlnm.Print_Area" localSheetId="2">'1(定) (2)'!$O$3:$W$25</definedName>
    <definedName name="_xlnm.Print_Area" localSheetId="11">'1(定) +加市直1000'!$A$1:$N$26</definedName>
    <definedName name="_xlnm.Print_Area" localSheetId="0">'1（定）报住建部底数'!$A$1:$L$28</definedName>
    <definedName name="_xlnm.Print_Area" localSheetId="3">'2(定)'!$A$1:$H$26</definedName>
    <definedName name="_xlnm.Print_Area" localSheetId="9">'2(定) (给领导）'!$A$1:$Y$29</definedName>
    <definedName name="_xlnm.Print_Area" localSheetId="4">'2保障性租赁住房发展情况分城市统计表'!$A$1:$O$25</definedName>
    <definedName name="_xlnm.Print_Area" localSheetId="5">'3 (定) '!$A$1:$X$27</definedName>
    <definedName name="_xlnm.Print_Area" localSheetId="6">'4 (定)'!$A$1:$N$25</definedName>
    <definedName name="_xlnm.Print_Area" localSheetId="8">'4（定）（报住建部数据）'!$A$1:$L$26</definedName>
    <definedName name="_xlnm.Print_Area" localSheetId="7">'5 （定）'!$A$1:$P$24</definedName>
  </definedNames>
  <calcPr fullCalcOnLoad="1"/>
</workbook>
</file>

<file path=xl/comments1.xml><?xml version="1.0" encoding="utf-8"?>
<comments xmlns="http://schemas.openxmlformats.org/spreadsheetml/2006/main">
  <authors>
    <author>韦碧云</author>
  </authors>
  <commentList>
    <comment ref="L27" authorId="0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钦州8月份台账1112户，新增三个项目为调整项目，但自治区尚未复函，故核减415户</t>
        </r>
      </text>
    </comment>
  </commentList>
</comments>
</file>

<file path=xl/comments10.xml><?xml version="1.0" encoding="utf-8"?>
<comments xmlns="http://schemas.openxmlformats.org/spreadsheetml/2006/main">
  <authors>
    <author>韦碧云</author>
    <author>gxxc</author>
    <author>Uky</author>
    <author>2210pc02</author>
    <author>Administrator</author>
  </authors>
  <commentList>
    <comment ref="D11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已减第三批盘活2013套</t>
        </r>
      </text>
    </comment>
    <comment ref="D12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增补48套，顶替玉林</t>
        </r>
      </text>
    </comment>
    <comment ref="D15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岑溪核减56套，桂林顶替</t>
        </r>
      </text>
    </comment>
    <comment ref="D20" authorId="0">
      <text>
        <r>
          <rPr>
            <b/>
            <sz val="9"/>
            <rFont val="宋体"/>
            <family val="0"/>
          </rPr>
          <t>韦碧云:核减48套，南宁顶替；核减77套，桂林顶替</t>
        </r>
      </text>
    </comment>
    <comment ref="C21" authorId="2">
      <text>
        <r>
          <rPr>
            <b/>
            <sz val="9"/>
            <rFont val="宋体"/>
            <family val="0"/>
          </rPr>
          <t>Uky:</t>
        </r>
        <r>
          <rPr>
            <sz val="9"/>
            <rFont val="宋体"/>
            <family val="0"/>
          </rPr>
          <t xml:space="preserve">
百色台账实际未扣除第一批盘活的阳圩农场136套，因该项目没有资金退回</t>
        </r>
      </text>
    </comment>
    <comment ref="C22" authorId="3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已减108
</t>
        </r>
      </text>
    </comment>
    <comment ref="C25" authorId="4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计划外没拿钱的3套，在12月份来文核减</t>
        </r>
      </text>
    </comment>
  </commentList>
</comments>
</file>

<file path=xl/comments12.xml><?xml version="1.0" encoding="utf-8"?>
<comments xmlns="http://schemas.openxmlformats.org/spreadsheetml/2006/main">
  <authors>
    <author>2210pc02</author>
  </authors>
  <commentList>
    <comment ref="AG11" authorId="0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已列入基本建成，表里填448</t>
        </r>
      </text>
    </comment>
    <comment ref="T18" authorId="0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有个项目调到2020</t>
        </r>
      </text>
    </comment>
    <comment ref="AJ18" authorId="0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2018年底数包含2019年国家任务储备的开工</t>
        </r>
      </text>
    </comment>
  </commentList>
</comments>
</file>

<file path=xl/comments13.xml><?xml version="1.0" encoding="utf-8"?>
<comments xmlns="http://schemas.openxmlformats.org/spreadsheetml/2006/main">
  <authors>
    <author>2210pc02</author>
  </authors>
  <commentList>
    <comment ref="AG11" authorId="0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已列入基本建成，表里填448</t>
        </r>
      </text>
    </comment>
    <comment ref="T18" authorId="0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>有个项目调到2020</t>
        </r>
      </text>
    </comment>
    <comment ref="AJ18" authorId="0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2018年底数包含2019年国家任务储备的开工</t>
        </r>
      </text>
    </comment>
  </commentList>
</comments>
</file>

<file path=xl/comments2.xml><?xml version="1.0" encoding="utf-8"?>
<comments xmlns="http://schemas.openxmlformats.org/spreadsheetml/2006/main">
  <authors>
    <author>黄剑华</author>
    <author>2210pc02</author>
  </authors>
  <commentList>
    <comment ref="R14" authorId="0">
      <text>
        <r>
          <rPr>
            <b/>
            <sz val="9"/>
            <rFont val="宋体"/>
            <family val="0"/>
          </rPr>
          <t>黄剑华: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未入库</t>
        </r>
      </text>
    </comment>
    <comment ref="W19" authorId="1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2018年底数包含2019年国家任务储备的开工</t>
        </r>
      </text>
    </comment>
  </commentList>
</comments>
</file>

<file path=xl/comments3.xml><?xml version="1.0" encoding="utf-8"?>
<comments xmlns="http://schemas.openxmlformats.org/spreadsheetml/2006/main">
  <authors>
    <author>黄剑华</author>
    <author>2210pc02</author>
  </authors>
  <commentList>
    <comment ref="R14" authorId="0">
      <text>
        <r>
          <rPr>
            <b/>
            <sz val="9"/>
            <rFont val="宋体"/>
            <family val="0"/>
          </rPr>
          <t>黄剑华: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未入库</t>
        </r>
      </text>
    </comment>
    <comment ref="W19" authorId="1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2018年底数包含2019年国家任务储备的开工</t>
        </r>
      </text>
    </comment>
  </commentList>
</comments>
</file>

<file path=xl/comments4.xml><?xml version="1.0" encoding="utf-8"?>
<comments xmlns="http://schemas.openxmlformats.org/spreadsheetml/2006/main">
  <authors>
    <author>Uky</author>
    <author>Administrator</author>
    <author>2210pc02</author>
    <author>韦碧云</author>
  </authors>
  <commentList>
    <comment ref="C19" authorId="0">
      <text>
        <r>
          <rPr>
            <b/>
            <sz val="9"/>
            <rFont val="宋体"/>
            <family val="0"/>
          </rPr>
          <t>Uky:</t>
        </r>
        <r>
          <rPr>
            <sz val="9"/>
            <rFont val="宋体"/>
            <family val="0"/>
          </rPr>
          <t xml:space="preserve">
百色台账实际未扣除第一批盘活的阳圩农场136套，因该项目没有资金退回</t>
        </r>
      </text>
    </comment>
    <comment ref="C2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计划外没拿钱的3套，在12月份来文核减</t>
        </r>
      </text>
    </comment>
    <comment ref="C9" authorId="2">
      <text>
        <r>
          <rPr>
            <b/>
            <sz val="9"/>
            <rFont val="宋体"/>
            <family val="0"/>
          </rPr>
          <t>2210pc02:贺州核减计划内108套，计划外将南宁108套增补至计划内。</t>
        </r>
      </text>
    </comment>
    <comment ref="C20" authorId="2">
      <text>
        <r>
          <rPr>
            <b/>
            <sz val="9"/>
            <rFont val="宋体"/>
            <family val="0"/>
          </rPr>
          <t>2210pc02:</t>
        </r>
        <r>
          <rPr>
            <sz val="9"/>
            <rFont val="宋体"/>
            <family val="0"/>
          </rPr>
          <t xml:space="preserve">
已减108
</t>
        </r>
      </text>
    </comment>
    <comment ref="D9" authorId="3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已减第三批盘活2013套</t>
        </r>
      </text>
    </comment>
  </commentList>
</comments>
</file>

<file path=xl/comments6.xml><?xml version="1.0" encoding="utf-8"?>
<comments xmlns="http://schemas.openxmlformats.org/spreadsheetml/2006/main">
  <authors>
    <author>韦碧云</author>
    <author>gxxc</author>
    <author>Administrator</author>
  </authors>
  <commentList>
    <comment ref="D11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已减第三批盘活2013套</t>
        </r>
      </text>
    </comment>
    <comment ref="D20" authorId="0">
      <text>
        <r>
          <rPr>
            <b/>
            <sz val="9"/>
            <rFont val="宋体"/>
            <family val="0"/>
          </rPr>
          <t>韦碧云:核减48套，南宁顶替；核减77套，桂林顶替</t>
        </r>
      </text>
    </comment>
    <comment ref="D12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增补48套，顶替玉林</t>
        </r>
      </text>
    </comment>
    <comment ref="D15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岑溪核减56套，桂林顶替</t>
        </r>
      </text>
    </comment>
    <comment ref="C25" authorId="2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2015年数据+2018-2021年基本建成558套</t>
        </r>
      </text>
    </comment>
    <comment ref="E21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2018年报部里数据中永安小区公共租赁住房已经全部建成;靖西县2013年3个项目减去28套未基本建成，加上4套超额建成</t>
        </r>
      </text>
    </comment>
    <comment ref="E22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按照表格数据</t>
        </r>
      </text>
    </comment>
    <comment ref="E12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2015年前数据+(2018-2021年)基本建成数3538
</t>
        </r>
      </text>
    </comment>
    <comment ref="E14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2015年数据+2018至2021年基本建成2713-21年多余的133
</t>
        </r>
      </text>
    </comment>
    <comment ref="C21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Uky:
百色台账实际未扣除第一批盘活的阳圩农场136套，因该项目没有资金退回
</t>
        </r>
      </text>
    </comment>
    <comment ref="C22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已减108
</t>
        </r>
      </text>
    </comment>
  </commentList>
</comments>
</file>

<file path=xl/comments7.xml><?xml version="1.0" encoding="utf-8"?>
<comments xmlns="http://schemas.openxmlformats.org/spreadsheetml/2006/main">
  <authors>
    <author>韦碧云</author>
    <author>gxxc</author>
  </authors>
  <commentList>
    <comment ref="C9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已减第三批盘活政府投资1233套
</t>
        </r>
      </text>
    </comment>
    <comment ref="C18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因罗田项目多减的盘活42套已加回。</t>
        </r>
      </text>
    </comment>
    <comment ref="C10" authorId="0">
      <text>
        <r>
          <rPr>
            <b/>
            <sz val="9"/>
            <rFont val="宋体"/>
            <family val="0"/>
          </rPr>
          <t>韦碧云:</t>
        </r>
        <r>
          <rPr>
            <sz val="9"/>
            <rFont val="宋体"/>
            <family val="0"/>
          </rPr>
          <t xml:space="preserve">
增补48套，顶替玉林</t>
        </r>
      </text>
    </comment>
    <comment ref="D13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岑溪核减廉租住房四期56套</t>
        </r>
      </text>
    </comment>
    <comment ref="D18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玉林核减大南路77套</t>
        </r>
      </text>
    </comment>
    <comment ref="D12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桂林荔浦增补133套，顶替玉林、岑溪</t>
        </r>
      </text>
    </comment>
    <comment ref="C12" authorId="1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2018-2021年新增建设2035套（已减去133套）</t>
        </r>
      </text>
    </comment>
  </commentList>
</comments>
</file>

<file path=xl/comments8.xml><?xml version="1.0" encoding="utf-8"?>
<comments xmlns="http://schemas.openxmlformats.org/spreadsheetml/2006/main">
  <authors>
    <author>gxxc</author>
  </authors>
  <commentList>
    <comment ref="T24" authorId="0">
      <text>
        <r>
          <rPr>
            <b/>
            <sz val="9"/>
            <rFont val="宋体"/>
            <family val="0"/>
          </rPr>
          <t>gxxc:</t>
        </r>
        <r>
          <rPr>
            <sz val="9"/>
            <rFont val="宋体"/>
            <family val="0"/>
          </rPr>
          <t xml:space="preserve">
76是看租赁补贴发放明细数后和钟永乐核对的数据</t>
        </r>
      </text>
    </comment>
  </commentList>
</comments>
</file>

<file path=xl/sharedStrings.xml><?xml version="1.0" encoding="utf-8"?>
<sst xmlns="http://schemas.openxmlformats.org/spreadsheetml/2006/main" count="1006" uniqueCount="350">
  <si>
    <t>附件1</t>
  </si>
  <si>
    <t xml:space="preserve">2023年全区棚户区改造、公租房和保障性租赁住房项目
开工情况表
  </t>
  </si>
  <si>
    <t>（截至2023年3月25日）</t>
  </si>
  <si>
    <t>城市</t>
  </si>
  <si>
    <t>棚户区改造</t>
  </si>
  <si>
    <t>公租房</t>
  </si>
  <si>
    <t>保障性租赁住房</t>
  </si>
  <si>
    <t>备注</t>
  </si>
  <si>
    <t>目标总数（套）</t>
  </si>
  <si>
    <t>总开工套数（套）</t>
  </si>
  <si>
    <t>开工率
（%）</t>
  </si>
  <si>
    <t>开工率（%）</t>
  </si>
  <si>
    <t>目标总数
（套/间）</t>
  </si>
  <si>
    <t>总开工套数（套/间）</t>
  </si>
  <si>
    <t>按改造量
排名</t>
  </si>
  <si>
    <t>编号栏</t>
  </si>
  <si>
    <t>3=2/1</t>
  </si>
  <si>
    <t>6=5/4</t>
  </si>
  <si>
    <t>9=8/7</t>
  </si>
  <si>
    <t>国家任务数</t>
  </si>
  <si>
    <t>合计</t>
  </si>
  <si>
    <t>-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</si>
  <si>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</si>
  <si>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</si>
  <si>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</si>
  <si>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</si>
  <si>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</si>
  <si>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</si>
  <si>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</si>
  <si>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</si>
  <si>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</si>
  <si>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</si>
  <si>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</si>
  <si>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</si>
  <si>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</si>
  <si>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</si>
  <si>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区直单位（企业）</t>
  </si>
  <si>
    <t>南宁市直危旧房改造</t>
  </si>
  <si>
    <r>
      <t xml:space="preserve">      </t>
    </r>
    <r>
      <rPr>
        <sz val="18"/>
        <rFont val="方正仿宋_GBK"/>
        <family val="0"/>
      </rPr>
      <t>注：上表中统计实物安置情况，梧州市本次上报棚户区改造新开工</t>
    </r>
    <r>
      <rPr>
        <sz val="18"/>
        <rFont val="Times New Roman"/>
        <family val="0"/>
      </rPr>
      <t>5616</t>
    </r>
    <r>
      <rPr>
        <sz val="18"/>
        <rFont val="方正仿宋_GBK"/>
        <family val="0"/>
      </rPr>
      <t>套，其中实物安置</t>
    </r>
    <r>
      <rPr>
        <sz val="18"/>
        <rFont val="Times New Roman"/>
        <family val="0"/>
      </rPr>
      <t>2300</t>
    </r>
    <r>
      <rPr>
        <sz val="18"/>
        <rFont val="方正仿宋_GBK"/>
        <family val="0"/>
      </rPr>
      <t>套（已列入表中），货币化安置</t>
    </r>
    <r>
      <rPr>
        <sz val="18"/>
        <rFont val="Times New Roman"/>
        <family val="0"/>
      </rPr>
      <t>3316</t>
    </r>
    <r>
      <rPr>
        <sz val="18"/>
        <rFont val="方正仿宋_GBK"/>
        <family val="0"/>
      </rPr>
      <t>户，此部分正在核实，暂未计入开工口径。</t>
    </r>
  </si>
  <si>
    <t xml:space="preserve"> 2019年全区棚户区改造开工情况通报表
（截至2019年6月25日）     </t>
  </si>
  <si>
    <t>今年新开工</t>
  </si>
  <si>
    <t xml:space="preserve"> 任务 
               城市</t>
  </si>
  <si>
    <t>2019年度国家目标任务</t>
  </si>
  <si>
    <t>2019年自治区新增任务</t>
  </si>
  <si>
    <r>
      <t>2019</t>
    </r>
    <r>
      <rPr>
        <sz val="20"/>
        <rFont val="宋体"/>
        <family val="0"/>
      </rPr>
      <t>年国家</t>
    </r>
  </si>
  <si>
    <r>
      <t>2018</t>
    </r>
    <r>
      <rPr>
        <sz val="20"/>
        <rFont val="宋体"/>
        <family val="0"/>
      </rPr>
      <t>自治区新增</t>
    </r>
  </si>
  <si>
    <r>
      <t>2019</t>
    </r>
    <r>
      <rPr>
        <sz val="20"/>
        <rFont val="宋体"/>
        <family val="0"/>
      </rPr>
      <t>年国家储备</t>
    </r>
  </si>
  <si>
    <r>
      <t>2019</t>
    </r>
    <r>
      <rPr>
        <sz val="20"/>
        <rFont val="宋体"/>
        <family val="0"/>
      </rPr>
      <t>自治区新增</t>
    </r>
  </si>
  <si>
    <r>
      <t>2019</t>
    </r>
    <r>
      <rPr>
        <sz val="20"/>
        <rFont val="宋体"/>
        <family val="0"/>
      </rPr>
      <t>国家储备</t>
    </r>
  </si>
  <si>
    <r>
      <t>2018</t>
    </r>
    <r>
      <rPr>
        <sz val="20"/>
        <rFont val="宋体"/>
        <family val="0"/>
      </rPr>
      <t>年开工底数</t>
    </r>
    <r>
      <rPr>
        <sz val="20"/>
        <rFont val="Times New Roman"/>
        <family val="0"/>
      </rPr>
      <t>(2018</t>
    </r>
    <r>
      <rPr>
        <sz val="20"/>
        <rFont val="宋体"/>
        <family val="0"/>
      </rPr>
      <t>年自治区新增</t>
    </r>
    <r>
      <rPr>
        <sz val="20"/>
        <rFont val="Times New Roman"/>
        <family val="0"/>
      </rPr>
      <t>)</t>
    </r>
  </si>
  <si>
    <t>年度目标责任套（户）数</t>
  </si>
  <si>
    <t>总改造套数</t>
  </si>
  <si>
    <t>总改造完成率</t>
  </si>
  <si>
    <t>其中：2019年国家下达责任目标任务（含2018年自治区新增任务结转）</t>
  </si>
  <si>
    <t>其中：2019年国家储备</t>
  </si>
  <si>
    <t>城市棚户区改造完成情况</t>
  </si>
  <si>
    <t>目标责任套数</t>
  </si>
  <si>
    <t>改造户数</t>
  </si>
  <si>
    <t>改造完成率</t>
  </si>
  <si>
    <t>目标任务套数</t>
  </si>
  <si>
    <t>1=4+7</t>
  </si>
  <si>
    <t>2=5+8</t>
  </si>
  <si>
    <t>12=11/10</t>
  </si>
  <si>
    <t>/</t>
  </si>
  <si>
    <t>国家任务</t>
  </si>
  <si>
    <t>自治区任务数</t>
  </si>
  <si>
    <t>南宁市 汇总</t>
  </si>
  <si>
    <t>柳州市 汇总</t>
  </si>
  <si>
    <t>桂林市 汇总</t>
  </si>
  <si>
    <t>藤县藤州镇（田寮片区）棚户区改造工程项目（二期）Ⅱ阶段-2019国家</t>
  </si>
  <si>
    <t>梧州市 汇总</t>
  </si>
  <si>
    <t>北海市 汇总</t>
  </si>
  <si>
    <t>防城港市 汇总</t>
  </si>
  <si>
    <t>钦州市 汇总</t>
  </si>
  <si>
    <t>贵港市 汇总</t>
  </si>
  <si>
    <t>103为19国家</t>
  </si>
  <si>
    <t>未入库</t>
  </si>
  <si>
    <t>玉林市 汇总</t>
  </si>
  <si>
    <r>
      <t>6827</t>
    </r>
    <r>
      <rPr>
        <sz val="20"/>
        <rFont val="宋体"/>
        <family val="0"/>
      </rPr>
      <t>（为</t>
    </r>
    <r>
      <rPr>
        <sz val="20"/>
        <rFont val="Times New Roman"/>
        <family val="0"/>
      </rPr>
      <t>2018</t>
    </r>
    <r>
      <rPr>
        <sz val="20"/>
        <rFont val="宋体"/>
        <family val="0"/>
      </rPr>
      <t>年盈余项目，转为</t>
    </r>
    <r>
      <rPr>
        <sz val="20"/>
        <rFont val="Times New Roman"/>
        <family val="0"/>
      </rPr>
      <t>2019</t>
    </r>
    <r>
      <rPr>
        <sz val="20"/>
        <rFont val="宋体"/>
        <family val="0"/>
      </rPr>
      <t>年国家任务）</t>
    </r>
    <r>
      <rPr>
        <sz val="20"/>
        <rFont val="Times New Roman"/>
        <family val="0"/>
      </rPr>
      <t>+48</t>
    </r>
  </si>
  <si>
    <t>贺州市 汇总</t>
  </si>
  <si>
    <t>河池市 汇总</t>
  </si>
  <si>
    <t>来宾市 汇总</t>
  </si>
  <si>
    <t>崇左市 汇总</t>
  </si>
  <si>
    <t>区直危旧房改造</t>
  </si>
  <si>
    <t>南宁危旧房改造</t>
  </si>
  <si>
    <r>
      <rPr>
        <sz val="18"/>
        <color indexed="8"/>
        <rFont val="黑体"/>
        <family val="3"/>
      </rPr>
      <t>附件</t>
    </r>
    <r>
      <rPr>
        <sz val="18"/>
        <color indexed="8"/>
        <rFont val="Times New Roman"/>
        <family val="0"/>
      </rPr>
      <t>2</t>
    </r>
  </si>
  <si>
    <r>
      <t>2020</t>
    </r>
    <r>
      <rPr>
        <sz val="22"/>
        <color indexed="8"/>
        <rFont val="方正小标宋_GBK"/>
        <family val="0"/>
      </rPr>
      <t>年全区公共租赁住房分配情况通报表</t>
    </r>
  </si>
  <si>
    <r>
      <rPr>
        <sz val="16"/>
        <color indexed="8"/>
        <rFont val="方正小标宋_GBK"/>
        <family val="0"/>
      </rPr>
      <t>（截至</t>
    </r>
    <r>
      <rPr>
        <sz val="16"/>
        <color indexed="8"/>
        <rFont val="Times New Roman"/>
        <family val="0"/>
      </rPr>
      <t>2020</t>
    </r>
    <r>
      <rPr>
        <sz val="16"/>
        <color indexed="8"/>
        <rFont val="方正小标宋_GBK"/>
        <family val="0"/>
      </rPr>
      <t>年</t>
    </r>
    <r>
      <rPr>
        <sz val="16"/>
        <color indexed="8"/>
        <rFont val="Times New Roman"/>
        <family val="0"/>
      </rPr>
      <t>5</t>
    </r>
    <r>
      <rPr>
        <sz val="16"/>
        <color indexed="8"/>
        <rFont val="方正小标宋_GBK"/>
        <family val="0"/>
      </rPr>
      <t>月</t>
    </r>
    <r>
      <rPr>
        <sz val="16"/>
        <color indexed="8"/>
        <rFont val="Times New Roman"/>
        <family val="0"/>
      </rPr>
      <t>25</t>
    </r>
    <r>
      <rPr>
        <sz val="16"/>
        <color indexed="8"/>
        <rFont val="方正小标宋_GBK"/>
        <family val="0"/>
      </rPr>
      <t>日）</t>
    </r>
  </si>
  <si>
    <r>
      <rPr>
        <b/>
        <sz val="14"/>
        <rFont val="方正仿宋_GBK"/>
        <family val="0"/>
      </rPr>
      <t>序号</t>
    </r>
  </si>
  <si>
    <r>
      <rPr>
        <b/>
        <sz val="14"/>
        <rFont val="方正仿宋_GBK"/>
        <family val="0"/>
      </rPr>
      <t>城市</t>
    </r>
  </si>
  <si>
    <r>
      <rPr>
        <b/>
        <sz val="14"/>
        <rFont val="方正仿宋_GBK"/>
        <family val="0"/>
      </rPr>
      <t>总套数（套）</t>
    </r>
  </si>
  <si>
    <r>
      <rPr>
        <b/>
        <sz val="14"/>
        <color indexed="8"/>
        <rFont val="方正仿宋_GBK"/>
        <family val="0"/>
      </rPr>
      <t>截至</t>
    </r>
    <r>
      <rPr>
        <b/>
        <sz val="14"/>
        <color indexed="8"/>
        <rFont val="Times New Roman"/>
        <family val="0"/>
      </rPr>
      <t>2020</t>
    </r>
    <r>
      <rPr>
        <b/>
        <sz val="14"/>
        <color indexed="8"/>
        <rFont val="方正仿宋_GBK"/>
        <family val="0"/>
      </rPr>
      <t>年</t>
    </r>
    <r>
      <rPr>
        <b/>
        <sz val="14"/>
        <color indexed="8"/>
        <rFont val="Times New Roman"/>
        <family val="0"/>
      </rPr>
      <t>5</t>
    </r>
    <r>
      <rPr>
        <b/>
        <sz val="14"/>
        <color indexed="8"/>
        <rFont val="方正仿宋_GBK"/>
        <family val="0"/>
      </rPr>
      <t>月已分配套数（套）</t>
    </r>
  </si>
  <si>
    <r>
      <rPr>
        <b/>
        <sz val="14"/>
        <rFont val="方正仿宋_GBK"/>
        <family val="0"/>
      </rPr>
      <t>分配比例</t>
    </r>
  </si>
  <si>
    <r>
      <rPr>
        <b/>
        <sz val="14"/>
        <rFont val="方正仿宋_GBK"/>
        <family val="0"/>
      </rPr>
      <t>排名</t>
    </r>
  </si>
  <si>
    <r>
      <t>2018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0"/>
      </rPr>
      <t>12</t>
    </r>
    <r>
      <rPr>
        <sz val="11"/>
        <color indexed="8"/>
        <rFont val="宋体"/>
        <family val="0"/>
      </rPr>
      <t>月份正在入住数</t>
    </r>
  </si>
  <si>
    <r>
      <rPr>
        <b/>
        <sz val="11"/>
        <color indexed="8"/>
        <rFont val="宋体"/>
        <family val="0"/>
      </rPr>
      <t>第一批盘活套数</t>
    </r>
  </si>
  <si>
    <r>
      <rPr>
        <b/>
        <sz val="11"/>
        <color indexed="8"/>
        <rFont val="宋体"/>
        <family val="0"/>
      </rPr>
      <t>第二批盘活套数</t>
    </r>
  </si>
  <si>
    <r>
      <rPr>
        <b/>
        <sz val="11"/>
        <color indexed="8"/>
        <rFont val="宋体"/>
        <family val="0"/>
      </rPr>
      <t>第三批盘活套数</t>
    </r>
  </si>
  <si>
    <r>
      <rPr>
        <b/>
        <sz val="14"/>
        <rFont val="方正仿宋_GBK"/>
        <family val="0"/>
      </rPr>
      <t>计划内开工套数（套）</t>
    </r>
  </si>
  <si>
    <r>
      <rPr>
        <b/>
        <sz val="14"/>
        <color indexed="8"/>
        <rFont val="方正仿宋_GBK"/>
        <family val="0"/>
      </rPr>
      <t>其中：</t>
    </r>
    <r>
      <rPr>
        <b/>
        <sz val="14"/>
        <color indexed="8"/>
        <rFont val="Times New Roman"/>
        <family val="0"/>
      </rPr>
      <t>2020</t>
    </r>
    <r>
      <rPr>
        <b/>
        <sz val="14"/>
        <color indexed="8"/>
        <rFont val="方正仿宋_GBK"/>
        <family val="0"/>
      </rPr>
      <t>年</t>
    </r>
    <r>
      <rPr>
        <b/>
        <sz val="14"/>
        <color indexed="8"/>
        <rFont val="Times New Roman"/>
        <family val="0"/>
      </rPr>
      <t>1-5</t>
    </r>
    <r>
      <rPr>
        <b/>
        <sz val="14"/>
        <color indexed="8"/>
        <rFont val="方正仿宋_GBK"/>
        <family val="0"/>
      </rPr>
      <t>月新增分配套数</t>
    </r>
  </si>
  <si>
    <r>
      <t>2020</t>
    </r>
    <r>
      <rPr>
        <sz val="11"/>
        <color indexed="8"/>
        <rFont val="宋体"/>
        <family val="0"/>
      </rPr>
      <t>年任务</t>
    </r>
  </si>
  <si>
    <r>
      <rPr>
        <sz val="14"/>
        <rFont val="方正仿宋_GBK"/>
        <family val="0"/>
      </rPr>
      <t>编号栏</t>
    </r>
  </si>
  <si>
    <r>
      <t>5=</t>
    </r>
    <r>
      <rPr>
        <sz val="12"/>
        <rFont val="方正仿宋_GBK"/>
        <family val="0"/>
      </rPr>
      <t>（</t>
    </r>
    <r>
      <rPr>
        <sz val="12"/>
        <rFont val="Times New Roman"/>
        <family val="0"/>
      </rPr>
      <t>3/2</t>
    </r>
    <r>
      <rPr>
        <sz val="12"/>
        <rFont val="方正仿宋_GBK"/>
        <family val="0"/>
      </rPr>
      <t>）</t>
    </r>
  </si>
  <si>
    <r>
      <rPr>
        <sz val="14"/>
        <rFont val="方正仿宋_GBK"/>
        <family val="0"/>
      </rPr>
      <t>合计</t>
    </r>
  </si>
  <si>
    <r>
      <rPr>
        <sz val="14"/>
        <color indexed="8"/>
        <rFont val="方正仿宋_GBK"/>
        <family val="0"/>
      </rPr>
      <t>南宁市</t>
    </r>
  </si>
  <si>
    <r>
      <rPr>
        <sz val="14"/>
        <color indexed="8"/>
        <rFont val="方正仿宋_GBK"/>
        <family val="0"/>
      </rPr>
      <t>柳州市</t>
    </r>
  </si>
  <si>
    <r>
      <rPr>
        <sz val="14"/>
        <rFont val="方正仿宋_GBK"/>
        <family val="0"/>
      </rPr>
      <t>桂林市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</si>
  <si>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梧州市</t>
    </r>
    <r>
      <rPr>
        <sz val="14"/>
        <rFont val="Times New Roman"/>
        <family val="0"/>
      </rPr>
      <t xml:space="preserve">      </t>
    </r>
  </si>
  <si>
    <r>
      <rPr>
        <sz val="10"/>
        <color indexed="8"/>
        <rFont val="宋体"/>
        <family val="0"/>
      </rPr>
      <t>系统台账留有一个第二批盘活的公租房项目，建议直接在系统台账删除该项目</t>
    </r>
  </si>
  <si>
    <r>
      <rPr>
        <sz val="14"/>
        <rFont val="方正仿宋_GBK"/>
        <family val="0"/>
      </rPr>
      <t>北海市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</si>
  <si>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防城港市</t>
    </r>
    <r>
      <rPr>
        <sz val="14"/>
        <rFont val="Times New Roman"/>
        <family val="0"/>
      </rPr>
      <t xml:space="preserve">      </t>
    </r>
  </si>
  <si>
    <r>
      <rPr>
        <sz val="14"/>
        <rFont val="方正仿宋_GBK"/>
        <family val="0"/>
      </rPr>
      <t>钦州市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</si>
  <si>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贵港市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</si>
  <si>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玉林市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</si>
  <si>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百色市</t>
    </r>
    <r>
      <rPr>
        <sz val="14"/>
        <rFont val="Times New Roman"/>
        <family val="0"/>
      </rPr>
      <t xml:space="preserve">     </t>
    </r>
  </si>
  <si>
    <r>
      <rPr>
        <sz val="10"/>
        <rFont val="宋体"/>
        <family val="0"/>
      </rPr>
      <t>第二批已盘活</t>
    </r>
    <r>
      <rPr>
        <sz val="10"/>
        <rFont val="Times New Roman"/>
        <family val="0"/>
      </rPr>
      <t>136</t>
    </r>
    <r>
      <rPr>
        <sz val="10"/>
        <rFont val="宋体"/>
        <family val="0"/>
      </rPr>
      <t>套，但未退回资金，百色市未在系统台账核减</t>
    </r>
  </si>
  <si>
    <r>
      <rPr>
        <sz val="14"/>
        <rFont val="方正仿宋_GBK"/>
        <family val="0"/>
      </rPr>
      <t>贺州市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</si>
  <si>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河池市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</si>
  <si>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来宾市</t>
    </r>
    <r>
      <rPr>
        <sz val="14"/>
        <rFont val="Times New Roman"/>
        <family val="0"/>
      </rPr>
      <t xml:space="preserve">     </t>
    </r>
  </si>
  <si>
    <r>
      <rPr>
        <sz val="14"/>
        <rFont val="方正仿宋_GBK"/>
        <family val="0"/>
      </rPr>
      <t>崇左市</t>
    </r>
    <r>
      <rPr>
        <sz val="14"/>
        <rFont val="Times New Roman"/>
        <family val="0"/>
      </rPr>
      <t xml:space="preserve">     </t>
    </r>
  </si>
  <si>
    <r>
      <rPr>
        <sz val="14"/>
        <color indexed="8"/>
        <rFont val="方正仿宋_GBK"/>
        <family val="0"/>
      </rPr>
      <t>区直</t>
    </r>
  </si>
  <si>
    <r>
      <rPr>
        <sz val="14"/>
        <color indexed="8"/>
        <rFont val="方正仿宋_GBK"/>
        <family val="0"/>
      </rPr>
      <t>宁铁</t>
    </r>
  </si>
  <si>
    <t>附件2</t>
  </si>
  <si>
    <t>保障性租赁住房发展情况分城市统计表</t>
  </si>
  <si>
    <t>项目建设进展情况</t>
  </si>
  <si>
    <t>项目认定书发放情况</t>
  </si>
  <si>
    <t>年度计划总数</t>
  </si>
  <si>
    <t>总开工套数</t>
  </si>
  <si>
    <t>开工率</t>
  </si>
  <si>
    <t>2023年完成投资（亿元）</t>
  </si>
  <si>
    <t>份数</t>
  </si>
  <si>
    <t>套数</t>
  </si>
  <si>
    <t>发放率</t>
  </si>
  <si>
    <t>项目数</t>
  </si>
  <si>
    <t>新建类</t>
  </si>
  <si>
    <t>占比</t>
  </si>
  <si>
    <t>改建
（改造）类</t>
  </si>
  <si>
    <t>纳入
管理类</t>
  </si>
  <si>
    <t>1=2+4+6</t>
  </si>
  <si>
    <t>5=4/1</t>
  </si>
  <si>
    <t>7=6/1</t>
  </si>
  <si>
    <t>9=8/1</t>
  </si>
  <si>
    <t>14=13/2</t>
  </si>
  <si>
    <t>——</t>
  </si>
  <si>
    <t>附件3</t>
  </si>
  <si>
    <t>2023年全区公租房分配情况表</t>
  </si>
  <si>
    <r>
      <t>2022</t>
    </r>
    <r>
      <rPr>
        <b/>
        <sz val="14"/>
        <rFont val="方正仿宋_GBK"/>
        <family val="0"/>
      </rPr>
      <t>年以前列入国家计划开工数（套）</t>
    </r>
  </si>
  <si>
    <r>
      <t>2015</t>
    </r>
    <r>
      <rPr>
        <b/>
        <sz val="14"/>
        <rFont val="方正仿宋_GBK"/>
        <family val="0"/>
      </rPr>
      <t>年以前开工建设数</t>
    </r>
    <r>
      <rPr>
        <b/>
        <sz val="14"/>
        <rFont val="Times New Roman"/>
        <family val="0"/>
      </rPr>
      <t xml:space="preserve">
</t>
    </r>
    <r>
      <rPr>
        <b/>
        <sz val="14"/>
        <rFont val="方正仿宋_GBK"/>
        <family val="0"/>
      </rPr>
      <t>（套）</t>
    </r>
  </si>
  <si>
    <r>
      <t>2022</t>
    </r>
    <r>
      <rPr>
        <b/>
        <sz val="14"/>
        <rFont val="方正仿宋_GBK"/>
        <family val="0"/>
      </rPr>
      <t>年及以前列入国家计划基本建成数（套）</t>
    </r>
  </si>
  <si>
    <t>已分配数（套）</t>
  </si>
  <si>
    <t>分配比例（%）</t>
  </si>
  <si>
    <r>
      <t>2019</t>
    </r>
    <r>
      <rPr>
        <b/>
        <sz val="14"/>
        <rFont val="宋体"/>
        <family val="0"/>
      </rPr>
      <t>-</t>
    </r>
    <r>
      <rPr>
        <b/>
        <sz val="14"/>
        <rFont val="Times New Roman"/>
        <family val="0"/>
      </rPr>
      <t>2021</t>
    </r>
    <r>
      <rPr>
        <b/>
        <sz val="14"/>
        <rFont val="方正仿宋_GBK"/>
        <family val="0"/>
      </rPr>
      <t>年开工建设（套）</t>
    </r>
  </si>
  <si>
    <t>全区列入国家计划的公租房总数（套）</t>
  </si>
  <si>
    <t>序号</t>
  </si>
  <si>
    <t>排名</t>
  </si>
  <si>
    <r>
      <t>2018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>12</t>
    </r>
    <r>
      <rPr>
        <sz val="11"/>
        <rFont val="宋体"/>
        <family val="0"/>
      </rPr>
      <t>月份正在入住数</t>
    </r>
  </si>
  <si>
    <t>第一批盘活套数</t>
  </si>
  <si>
    <t>第二批盘活套数</t>
  </si>
  <si>
    <t>第三批盘活套数</t>
  </si>
  <si>
    <t>本年新增分配数（套）</t>
  </si>
  <si>
    <t>7=2+6</t>
  </si>
  <si>
    <r>
      <t>桂林市</t>
    </r>
    <r>
      <rPr>
        <sz val="14"/>
        <rFont val="Times New Roman"/>
        <family val="0"/>
      </rPr>
      <t xml:space="preserve">     </t>
    </r>
  </si>
  <si>
    <r>
      <t>梧州市</t>
    </r>
    <r>
      <rPr>
        <sz val="14"/>
        <rFont val="Times New Roman"/>
        <family val="0"/>
      </rPr>
      <t xml:space="preserve">      </t>
    </r>
  </si>
  <si>
    <t>系统台账留有一个第二批盘活的公租房项目，建议直接在系统台账删除该项目</t>
  </si>
  <si>
    <r>
      <t>北海市</t>
    </r>
    <r>
      <rPr>
        <sz val="14"/>
        <rFont val="Times New Roman"/>
        <family val="0"/>
      </rPr>
      <t xml:space="preserve">     </t>
    </r>
  </si>
  <si>
    <r>
      <t>防城港市</t>
    </r>
    <r>
      <rPr>
        <sz val="14"/>
        <rFont val="Times New Roman"/>
        <family val="0"/>
      </rPr>
      <t xml:space="preserve">      </t>
    </r>
  </si>
  <si>
    <r>
      <t>防城港市长期租赁公租房</t>
    </r>
    <r>
      <rPr>
        <sz val="10"/>
        <rFont val="Times New Roman"/>
        <family val="0"/>
      </rPr>
      <t>12</t>
    </r>
    <r>
      <rPr>
        <sz val="10"/>
        <rFont val="宋体"/>
        <family val="0"/>
      </rPr>
      <t>套租赁期已到，防城港市不再续租</t>
    </r>
  </si>
  <si>
    <r>
      <t>钦州市</t>
    </r>
    <r>
      <rPr>
        <sz val="14"/>
        <rFont val="Times New Roman"/>
        <family val="0"/>
      </rPr>
      <t xml:space="preserve">     </t>
    </r>
  </si>
  <si>
    <r>
      <t>贵港市</t>
    </r>
    <r>
      <rPr>
        <sz val="14"/>
        <rFont val="Times New Roman"/>
        <family val="0"/>
      </rPr>
      <t xml:space="preserve">     </t>
    </r>
  </si>
  <si>
    <r>
      <t>玉林市</t>
    </r>
    <r>
      <rPr>
        <sz val="14"/>
        <rFont val="Times New Roman"/>
        <family val="0"/>
      </rPr>
      <t xml:space="preserve">     </t>
    </r>
  </si>
  <si>
    <r>
      <t>百色市</t>
    </r>
    <r>
      <rPr>
        <sz val="14"/>
        <rFont val="Times New Roman"/>
        <family val="0"/>
      </rPr>
      <t xml:space="preserve">     </t>
    </r>
  </si>
  <si>
    <r>
      <t>第二批已盘活</t>
    </r>
    <r>
      <rPr>
        <sz val="10"/>
        <rFont val="Times New Roman"/>
        <family val="0"/>
      </rPr>
      <t>136</t>
    </r>
    <r>
      <rPr>
        <sz val="10"/>
        <rFont val="宋体"/>
        <family val="0"/>
      </rPr>
      <t>套，但未退回资金，百色市未在系统台账核减</t>
    </r>
  </si>
  <si>
    <r>
      <t>贺州市</t>
    </r>
    <r>
      <rPr>
        <sz val="14"/>
        <rFont val="Times New Roman"/>
        <family val="0"/>
      </rPr>
      <t xml:space="preserve">     </t>
    </r>
  </si>
  <si>
    <r>
      <t>河池市</t>
    </r>
    <r>
      <rPr>
        <sz val="14"/>
        <rFont val="Times New Roman"/>
        <family val="0"/>
      </rPr>
      <t xml:space="preserve">     </t>
    </r>
  </si>
  <si>
    <r>
      <t>来宾市</t>
    </r>
    <r>
      <rPr>
        <sz val="14"/>
        <rFont val="Times New Roman"/>
        <family val="0"/>
      </rPr>
      <t xml:space="preserve">     </t>
    </r>
  </si>
  <si>
    <r>
      <t>崇左市</t>
    </r>
    <r>
      <rPr>
        <sz val="14"/>
        <rFont val="Times New Roman"/>
        <family val="0"/>
      </rPr>
      <t xml:space="preserve">     </t>
    </r>
  </si>
  <si>
    <t>区直</t>
  </si>
  <si>
    <t>宁铁</t>
  </si>
  <si>
    <t>备注：长期租赁公租房区直单位400套、防城港市12套租赁期已到并不再续租，上表中已核减412套。</t>
  </si>
  <si>
    <t>附件4</t>
  </si>
  <si>
    <t>2023年全区计划内政府投资公租房分配情况表</t>
  </si>
  <si>
    <r>
      <t>2022</t>
    </r>
    <r>
      <rPr>
        <b/>
        <sz val="16"/>
        <rFont val="方正仿宋_GBK"/>
        <family val="0"/>
      </rPr>
      <t>年以前建设总数（套）</t>
    </r>
  </si>
  <si>
    <r>
      <t>2015</t>
    </r>
    <r>
      <rPr>
        <b/>
        <sz val="14"/>
        <rFont val="方正仿宋_GBK"/>
        <family val="0"/>
      </rPr>
      <t>年以前开工建设数</t>
    </r>
    <r>
      <rPr>
        <b/>
        <sz val="14"/>
        <rFont val="Times New Roman"/>
        <family val="0"/>
      </rPr>
      <t xml:space="preserve">
</t>
    </r>
    <r>
      <rPr>
        <b/>
        <sz val="14"/>
        <rFont val="方正书宋_GBK"/>
        <family val="0"/>
      </rPr>
      <t>（套）</t>
    </r>
  </si>
  <si>
    <t>其中：新增分配数（套）</t>
  </si>
  <si>
    <t>公式栏</t>
  </si>
  <si>
    <t>1</t>
  </si>
  <si>
    <t>2</t>
  </si>
  <si>
    <t>3</t>
  </si>
  <si>
    <t>4</t>
  </si>
  <si>
    <t>5=3/2</t>
  </si>
  <si>
    <t>广西总计</t>
  </si>
  <si>
    <t>备注：不含2023年任务数</t>
  </si>
  <si>
    <t>附件5</t>
  </si>
  <si>
    <r>
      <t>2023</t>
    </r>
    <r>
      <rPr>
        <sz val="28"/>
        <rFont val="方正小标宋_GBK"/>
        <family val="0"/>
      </rPr>
      <t>年全区保障性安居工程基本建成、完成投资</t>
    </r>
    <r>
      <rPr>
        <sz val="28"/>
        <rFont val="Times New Roman"/>
        <family val="0"/>
      </rPr>
      <t xml:space="preserve">
</t>
    </r>
    <r>
      <rPr>
        <sz val="28"/>
        <rFont val="方正小标宋_GBK"/>
        <family val="0"/>
      </rPr>
      <t>和发放租赁补贴完成情况表</t>
    </r>
  </si>
  <si>
    <t>租赁补贴</t>
  </si>
  <si>
    <t>棚户区改造本年基本建成数（套）</t>
  </si>
  <si>
    <t>公租房基本建成情况</t>
  </si>
  <si>
    <t>保障性安居工程本年完成投资（亿元）</t>
  </si>
  <si>
    <t>租赁补贴年度发放目标总数（户）</t>
  </si>
  <si>
    <t>租赁补贴实际发放总数（户）</t>
  </si>
  <si>
    <r>
      <t>租赁补贴发放率</t>
    </r>
    <r>
      <rPr>
        <b/>
        <sz val="20"/>
        <rFont val="方正书宋_GBK"/>
        <family val="0"/>
      </rPr>
      <t>（</t>
    </r>
    <r>
      <rPr>
        <b/>
        <sz val="20"/>
        <rFont val="Times New Roman"/>
        <family val="0"/>
      </rPr>
      <t>%</t>
    </r>
    <r>
      <rPr>
        <b/>
        <sz val="20"/>
        <rFont val="方正书宋_GBK"/>
        <family val="0"/>
      </rPr>
      <t>）</t>
    </r>
  </si>
  <si>
    <r>
      <t>目标责</t>
    </r>
    <r>
      <rPr>
        <b/>
        <sz val="20"/>
        <rFont val="Times New Roman"/>
        <family val="0"/>
      </rPr>
      <t xml:space="preserve">
</t>
    </r>
    <r>
      <rPr>
        <b/>
        <sz val="20"/>
        <rFont val="方正仿宋_GBK"/>
        <family val="0"/>
      </rPr>
      <t>任套数（套）</t>
    </r>
  </si>
  <si>
    <t>本年基本建成套数（套）</t>
  </si>
  <si>
    <r>
      <t>基本建成率（</t>
    </r>
    <r>
      <rPr>
        <b/>
        <sz val="20"/>
        <rFont val="Times New Roman"/>
        <family val="0"/>
      </rPr>
      <t>%</t>
    </r>
    <r>
      <rPr>
        <b/>
        <sz val="20"/>
        <rFont val="方正仿宋_GBK"/>
        <family val="0"/>
      </rPr>
      <t>）</t>
    </r>
  </si>
  <si>
    <t>本年基本建成数（套）</t>
  </si>
  <si>
    <t>其中已新增
发放数（户）</t>
  </si>
  <si>
    <t>5=2/1</t>
  </si>
  <si>
    <t>6</t>
  </si>
  <si>
    <t>7</t>
  </si>
  <si>
    <t>8=7/6</t>
  </si>
  <si>
    <t>8</t>
  </si>
  <si>
    <t>9</t>
  </si>
  <si>
    <t>11</t>
  </si>
  <si>
    <r>
      <t>1-11</t>
    </r>
    <r>
      <rPr>
        <sz val="24"/>
        <rFont val="方正书宋_GBK"/>
        <family val="0"/>
      </rPr>
      <t>月累计</t>
    </r>
  </si>
  <si>
    <r>
      <t>11</t>
    </r>
    <r>
      <rPr>
        <sz val="24"/>
        <rFont val="方正书宋_GBK"/>
        <family val="0"/>
      </rPr>
      <t>月新进入</t>
    </r>
  </si>
  <si>
    <t>11-12新进入增加值</t>
  </si>
  <si>
    <r>
      <t>1-12</t>
    </r>
    <r>
      <rPr>
        <sz val="24"/>
        <rFont val="方正书宋_GBK"/>
        <family val="0"/>
      </rPr>
      <t>月累计</t>
    </r>
  </si>
  <si>
    <t>11-12月累计新增</t>
  </si>
  <si>
    <r>
      <t>7</t>
    </r>
    <r>
      <rPr>
        <sz val="24"/>
        <rFont val="方正书宋_GBK"/>
        <family val="0"/>
      </rPr>
      <t>月份退出</t>
    </r>
  </si>
  <si>
    <r>
      <t>8</t>
    </r>
    <r>
      <rPr>
        <sz val="24"/>
        <rFont val="方正书宋_GBK"/>
        <family val="0"/>
      </rPr>
      <t>月份退出</t>
    </r>
  </si>
  <si>
    <r>
      <t>7-8</t>
    </r>
    <r>
      <rPr>
        <sz val="24"/>
        <rFont val="方正书宋_GBK"/>
        <family val="0"/>
      </rPr>
      <t>月份退出新增</t>
    </r>
  </si>
  <si>
    <t>累计变化数与新进入变化数比较</t>
  </si>
  <si>
    <r>
      <t>10</t>
    </r>
    <r>
      <rPr>
        <sz val="24"/>
        <rFont val="方正书宋_GBK"/>
        <family val="0"/>
      </rPr>
      <t>月份完成投资</t>
    </r>
  </si>
  <si>
    <t>南宁市直</t>
  </si>
  <si>
    <t>备注：租赁补贴其中新增发放户数指租赁补贴新进入保障户数。</t>
  </si>
  <si>
    <t>附表8</t>
  </si>
  <si>
    <r>
      <t>2021</t>
    </r>
    <r>
      <rPr>
        <sz val="28"/>
        <rFont val="方正小标宋_GBK"/>
        <family val="0"/>
      </rPr>
      <t>年全区保障性安居工程基本建成和发放城镇住房</t>
    </r>
    <r>
      <rPr>
        <sz val="28"/>
        <rFont val="Times New Roman"/>
        <family val="0"/>
      </rPr>
      <t xml:space="preserve">    
</t>
    </r>
    <r>
      <rPr>
        <sz val="28"/>
        <rFont val="方正小标宋_GBK"/>
        <family val="0"/>
      </rPr>
      <t>保障家庭租赁补贴完成情况表</t>
    </r>
  </si>
  <si>
    <r>
      <t>（截至</t>
    </r>
    <r>
      <rPr>
        <b/>
        <sz val="18"/>
        <rFont val="Times New Roman"/>
        <family val="0"/>
      </rPr>
      <t>2021</t>
    </r>
    <r>
      <rPr>
        <b/>
        <sz val="18"/>
        <rFont val="方正书宋_GBK"/>
        <family val="0"/>
      </rPr>
      <t>年12月</t>
    </r>
    <r>
      <rPr>
        <b/>
        <sz val="18"/>
        <rFont val="Times New Roman"/>
        <family val="0"/>
      </rPr>
      <t>25</t>
    </r>
    <r>
      <rPr>
        <b/>
        <sz val="18"/>
        <rFont val="方正书宋_GBK"/>
        <family val="0"/>
      </rPr>
      <t>日）</t>
    </r>
  </si>
  <si>
    <r>
      <rPr>
        <b/>
        <sz val="16"/>
        <rFont val="方正仿宋_GBK"/>
        <family val="0"/>
      </rPr>
      <t>城市</t>
    </r>
  </si>
  <si>
    <t>城镇住房保障家庭租赁补贴</t>
  </si>
  <si>
    <r>
      <rPr>
        <b/>
        <sz val="16"/>
        <rFont val="方正仿宋_GBK"/>
        <family val="0"/>
      </rPr>
      <t>公租房基本建成情况</t>
    </r>
  </si>
  <si>
    <r>
      <rPr>
        <b/>
        <sz val="16"/>
        <rFont val="方正仿宋_GBK"/>
        <family val="0"/>
      </rPr>
      <t>保障性安居工程本年完成投资</t>
    </r>
    <r>
      <rPr>
        <b/>
        <sz val="16"/>
        <rFont val="Times New Roman"/>
        <family val="0"/>
      </rPr>
      <t xml:space="preserve">
</t>
    </r>
    <r>
      <rPr>
        <b/>
        <sz val="16"/>
        <rFont val="方正仿宋_GBK"/>
        <family val="0"/>
      </rPr>
      <t>（亿元）</t>
    </r>
  </si>
  <si>
    <r>
      <rPr>
        <b/>
        <sz val="14"/>
        <rFont val="方正仿宋_GBK"/>
        <family val="0"/>
      </rPr>
      <t>备注</t>
    </r>
  </si>
  <si>
    <t>国家任务目标责任户数</t>
  </si>
  <si>
    <t>本年度租赁补贴实际发放户数</t>
  </si>
  <si>
    <r>
      <t>租赁补贴实际发放率</t>
    </r>
    <r>
      <rPr>
        <b/>
        <sz val="16"/>
        <rFont val="Times New Roman"/>
        <family val="0"/>
      </rPr>
      <t>%</t>
    </r>
  </si>
  <si>
    <r>
      <rPr>
        <b/>
        <sz val="16"/>
        <rFont val="方正仿宋_GBK"/>
        <family val="0"/>
      </rPr>
      <t>目标责</t>
    </r>
    <r>
      <rPr>
        <b/>
        <sz val="16"/>
        <rFont val="Times New Roman"/>
        <family val="0"/>
      </rPr>
      <t xml:space="preserve">
</t>
    </r>
    <r>
      <rPr>
        <b/>
        <sz val="16"/>
        <rFont val="方正仿宋_GBK"/>
        <family val="0"/>
      </rPr>
      <t>任套数</t>
    </r>
  </si>
  <si>
    <r>
      <rPr>
        <b/>
        <sz val="16"/>
        <rFont val="方正仿宋_GBK"/>
        <family val="0"/>
      </rPr>
      <t>基本建成率（</t>
    </r>
    <r>
      <rPr>
        <b/>
        <sz val="16"/>
        <rFont val="Times New Roman"/>
        <family val="0"/>
      </rPr>
      <t>%</t>
    </r>
    <r>
      <rPr>
        <b/>
        <sz val="16"/>
        <rFont val="方正仿宋_GBK"/>
        <family val="0"/>
      </rPr>
      <t>）</t>
    </r>
  </si>
  <si>
    <r>
      <rPr>
        <b/>
        <sz val="16"/>
        <rFont val="方正仿宋_GBK"/>
        <family val="0"/>
      </rPr>
      <t>目标责任套数</t>
    </r>
  </si>
  <si>
    <r>
      <rPr>
        <sz val="16"/>
        <rFont val="方正仿宋_GBK"/>
        <family val="0"/>
      </rPr>
      <t>公式栏</t>
    </r>
  </si>
  <si>
    <t>5</t>
  </si>
  <si>
    <t>10</t>
  </si>
  <si>
    <r>
      <rPr>
        <sz val="16"/>
        <rFont val="方正仿宋_GBK"/>
        <family val="0"/>
      </rPr>
      <t>国家任务数</t>
    </r>
  </si>
  <si>
    <r>
      <rPr>
        <sz val="16"/>
        <rFont val="方正仿宋_GBK"/>
        <family val="0"/>
      </rPr>
      <t>自治区任务数</t>
    </r>
  </si>
  <si>
    <r>
      <rPr>
        <sz val="16"/>
        <rFont val="方正仿宋_GBK"/>
        <family val="0"/>
      </rPr>
      <t>南宁市</t>
    </r>
  </si>
  <si>
    <r>
      <rPr>
        <sz val="16"/>
        <rFont val="方正仿宋_GBK"/>
        <family val="0"/>
      </rPr>
      <t>柳州市</t>
    </r>
  </si>
  <si>
    <r>
      <rPr>
        <sz val="16"/>
        <rFont val="方正仿宋_GBK"/>
        <family val="0"/>
      </rPr>
      <t>桂林市</t>
    </r>
  </si>
  <si>
    <r>
      <rPr>
        <sz val="16"/>
        <rFont val="方正仿宋_GBK"/>
        <family val="0"/>
      </rPr>
      <t>梧州市</t>
    </r>
  </si>
  <si>
    <r>
      <rPr>
        <sz val="16"/>
        <rFont val="方正仿宋_GBK"/>
        <family val="0"/>
      </rPr>
      <t>北海市</t>
    </r>
  </si>
  <si>
    <r>
      <rPr>
        <sz val="16"/>
        <rFont val="方正仿宋_GBK"/>
        <family val="0"/>
      </rPr>
      <t>防城港市</t>
    </r>
  </si>
  <si>
    <r>
      <rPr>
        <sz val="16"/>
        <rFont val="方正仿宋_GBK"/>
        <family val="0"/>
      </rPr>
      <t>钦州市</t>
    </r>
  </si>
  <si>
    <r>
      <rPr>
        <sz val="16"/>
        <rFont val="方正仿宋_GBK"/>
        <family val="0"/>
      </rPr>
      <t>贵港市</t>
    </r>
  </si>
  <si>
    <r>
      <rPr>
        <sz val="16"/>
        <rFont val="方正仿宋_GBK"/>
        <family val="0"/>
      </rPr>
      <t>百色市</t>
    </r>
  </si>
  <si>
    <r>
      <rPr>
        <sz val="16"/>
        <rFont val="方正仿宋_GBK"/>
        <family val="0"/>
      </rPr>
      <t>贺州市</t>
    </r>
  </si>
  <si>
    <r>
      <rPr>
        <sz val="16"/>
        <rFont val="方正仿宋_GBK"/>
        <family val="0"/>
      </rPr>
      <t>河池市</t>
    </r>
  </si>
  <si>
    <r>
      <rPr>
        <sz val="16"/>
        <rFont val="方正仿宋_GBK"/>
        <family val="0"/>
      </rPr>
      <t>来宾市</t>
    </r>
  </si>
  <si>
    <r>
      <rPr>
        <sz val="16"/>
        <rFont val="方正仿宋_GBK"/>
        <family val="0"/>
      </rPr>
      <t>崇左市</t>
    </r>
  </si>
  <si>
    <r>
      <rPr>
        <sz val="16"/>
        <rFont val="方正仿宋_GBK"/>
        <family val="0"/>
      </rPr>
      <t>区直</t>
    </r>
  </si>
  <si>
    <r>
      <rPr>
        <sz val="16"/>
        <rFont val="方正仿宋_GBK"/>
        <family val="0"/>
      </rPr>
      <t>南宁市直</t>
    </r>
  </si>
  <si>
    <t>附表6</t>
  </si>
  <si>
    <t>2021年全区公租房分配情况表</t>
  </si>
  <si>
    <t>（截至2021年12月25日）</t>
  </si>
  <si>
    <r>
      <t>2015</t>
    </r>
    <r>
      <rPr>
        <b/>
        <sz val="14"/>
        <color indexed="8"/>
        <rFont val="方正仿宋_GBK"/>
        <family val="0"/>
      </rPr>
      <t>年以前开工建设数</t>
    </r>
  </si>
  <si>
    <r>
      <t>2019-2021</t>
    </r>
    <r>
      <rPr>
        <b/>
        <sz val="14"/>
        <rFont val="方正书宋_GBK"/>
        <family val="0"/>
      </rPr>
      <t>年开工建设（套）</t>
    </r>
  </si>
  <si>
    <t>全区已分配总数（套）</t>
  </si>
  <si>
    <t>总数（套）</t>
  </si>
  <si>
    <t>分配比例</t>
  </si>
  <si>
    <t>列入国家计划开工数（套）</t>
  </si>
  <si>
    <t>8=2+6</t>
  </si>
  <si>
    <t>9=3+7</t>
  </si>
  <si>
    <r>
      <t>2019-2021</t>
    </r>
    <r>
      <rPr>
        <sz val="10"/>
        <color indexed="8"/>
        <rFont val="方正书宋_GBK"/>
        <family val="0"/>
      </rPr>
      <t>年任务数为</t>
    </r>
    <r>
      <rPr>
        <sz val="10"/>
        <color indexed="8"/>
        <rFont val="Times New Roman"/>
        <family val="0"/>
      </rPr>
      <t>9500</t>
    </r>
    <r>
      <rPr>
        <sz val="10"/>
        <color indexed="8"/>
        <rFont val="方正书宋_GBK"/>
        <family val="0"/>
      </rPr>
      <t>，超额建设</t>
    </r>
    <r>
      <rPr>
        <sz val="10"/>
        <color indexed="8"/>
        <rFont val="Times New Roman"/>
        <family val="0"/>
      </rPr>
      <t>928</t>
    </r>
    <r>
      <rPr>
        <sz val="10"/>
        <color indexed="8"/>
        <rFont val="方正书宋_GBK"/>
        <family val="0"/>
      </rPr>
      <t>套</t>
    </r>
  </si>
  <si>
    <r>
      <t>防城港市长期租赁公租房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宋体"/>
        <family val="0"/>
      </rPr>
      <t>套租赁期已到，防城港市不再续租</t>
    </r>
  </si>
  <si>
    <t>截至8月底，保障性安居工程进展情况如下：
1、2021年，全区棚户区改造目标任务为新开工3.18万套，截至8月25日，新开工2.51万套，完成年度开工任务的79.01%。（贵港增557套，来宾增79套）
2、2021年，我区棚户区改造基本建成任务为9万套，截至8月25日，全区棚户区改造基本建成5.04万套，基本建成率55.96%。
3、2021年，南宁、桂林和北海市计划筹集公共租赁住房5570套，截至8月底，已开工2095套，开工率37.61%；全区公共租赁住房基本建成目标任务为5696套，基本建成816套。
4、截至8月25日，全区保障性安居工程完成投资151.98亿元，环比增长14.36%，完成年度计划150亿元的101.32%。其中，城市和国有工矿棚户区改造完成投资149.62亿元，公共租赁住房完成投资2.35亿元。(原投资总数161.98亿元，目前暂定扣减10个亿作为结转）
5、截至8月25日，全区共发放城镇住房保障家庭住房租赁补贴2.61万户，完成年度目标任务2.28万户的114.69%。</t>
  </si>
  <si>
    <t xml:space="preserve">2020年全区棚户区改造项目开工情况通报表
（截至2020年9月25日）     </t>
  </si>
  <si>
    <t>退了改过</t>
  </si>
  <si>
    <t>多</t>
  </si>
  <si>
    <t>少</t>
  </si>
  <si>
    <r>
      <t xml:space="preserve"> </t>
    </r>
    <r>
      <rPr>
        <b/>
        <sz val="16"/>
        <rFont val="宋体"/>
        <family val="0"/>
      </rPr>
      <t>任务</t>
    </r>
    <r>
      <rPr>
        <b/>
        <sz val="16"/>
        <rFont val="Times New Roman"/>
        <family val="0"/>
      </rPr>
      <t xml:space="preserve"> 
               </t>
    </r>
    <r>
      <rPr>
        <b/>
        <sz val="16"/>
        <rFont val="宋体"/>
        <family val="0"/>
      </rPr>
      <t>城市</t>
    </r>
  </si>
  <si>
    <r>
      <t>2020</t>
    </r>
    <r>
      <rPr>
        <b/>
        <sz val="18"/>
        <rFont val="宋体"/>
        <family val="0"/>
      </rPr>
      <t>年度国家目标任务</t>
    </r>
  </si>
  <si>
    <r>
      <t>2020</t>
    </r>
    <r>
      <rPr>
        <b/>
        <sz val="18"/>
        <rFont val="宋体"/>
        <family val="0"/>
      </rPr>
      <t>年新编入国家</t>
    </r>
    <r>
      <rPr>
        <b/>
        <sz val="18"/>
        <rFont val="Times New Roman"/>
        <family val="0"/>
      </rPr>
      <t xml:space="preserve">
</t>
    </r>
    <r>
      <rPr>
        <b/>
        <sz val="18"/>
        <rFont val="宋体"/>
        <family val="0"/>
      </rPr>
      <t>任务</t>
    </r>
  </si>
  <si>
    <r>
      <t>2019</t>
    </r>
    <r>
      <rPr>
        <b/>
        <sz val="18"/>
        <rFont val="宋体"/>
        <family val="0"/>
      </rPr>
      <t>年国家储备任务</t>
    </r>
  </si>
  <si>
    <r>
      <t>2019</t>
    </r>
    <r>
      <rPr>
        <b/>
        <sz val="18"/>
        <rFont val="宋体"/>
        <family val="0"/>
      </rPr>
      <t>年自治区新增任务</t>
    </r>
  </si>
  <si>
    <r>
      <t>2018</t>
    </r>
    <r>
      <rPr>
        <b/>
        <sz val="20"/>
        <rFont val="宋体"/>
        <family val="0"/>
      </rPr>
      <t>自治区新增</t>
    </r>
  </si>
  <si>
    <t>1+2+3合计</t>
  </si>
  <si>
    <t>新建实物安置</t>
  </si>
  <si>
    <t>货币安置</t>
  </si>
  <si>
    <t>调整项目</t>
  </si>
  <si>
    <r>
      <rPr>
        <b/>
        <sz val="14"/>
        <rFont val="宋体"/>
        <family val="0"/>
      </rPr>
      <t>年度目标任务套（套）数</t>
    </r>
  </si>
  <si>
    <r>
      <rPr>
        <b/>
        <sz val="14"/>
        <color indexed="8"/>
        <rFont val="宋体"/>
        <family val="0"/>
      </rPr>
      <t>总改造</t>
    </r>
    <r>
      <rPr>
        <b/>
        <sz val="14"/>
        <color indexed="8"/>
        <rFont val="Times New Roman"/>
        <family val="0"/>
      </rPr>
      <t xml:space="preserve">
</t>
    </r>
    <r>
      <rPr>
        <b/>
        <sz val="14"/>
        <color indexed="8"/>
        <rFont val="宋体"/>
        <family val="0"/>
      </rPr>
      <t>套数</t>
    </r>
  </si>
  <si>
    <t>总改造完
成率</t>
  </si>
  <si>
    <r>
      <rPr>
        <b/>
        <sz val="14"/>
        <rFont val="宋体"/>
        <family val="0"/>
      </rPr>
      <t>排名</t>
    </r>
  </si>
  <si>
    <r>
      <rPr>
        <b/>
        <sz val="14"/>
        <rFont val="宋体"/>
        <family val="0"/>
      </rPr>
      <t>目标任务套数</t>
    </r>
  </si>
  <si>
    <r>
      <rPr>
        <b/>
        <sz val="14"/>
        <rFont val="宋体"/>
        <family val="0"/>
      </rPr>
      <t>改造完</t>
    </r>
    <r>
      <rPr>
        <b/>
        <sz val="14"/>
        <rFont val="Times New Roman"/>
        <family val="0"/>
      </rPr>
      <t xml:space="preserve">
</t>
    </r>
    <r>
      <rPr>
        <b/>
        <sz val="14"/>
        <rFont val="宋体"/>
        <family val="0"/>
      </rPr>
      <t>成率</t>
    </r>
  </si>
  <si>
    <r>
      <rPr>
        <b/>
        <sz val="14"/>
        <rFont val="宋体"/>
        <family val="0"/>
      </rPr>
      <t>改造户数</t>
    </r>
  </si>
  <si>
    <r>
      <t>改造</t>
    </r>
    <r>
      <rPr>
        <b/>
        <sz val="14"/>
        <rFont val="Times New Roman"/>
        <family val="0"/>
      </rPr>
      <t xml:space="preserve">
</t>
    </r>
    <r>
      <rPr>
        <b/>
        <sz val="14"/>
        <rFont val="宋体"/>
        <family val="0"/>
      </rPr>
      <t>户数</t>
    </r>
  </si>
  <si>
    <t>小计</t>
  </si>
  <si>
    <t>其中：政府收购房源安置</t>
  </si>
  <si>
    <t>其中：政府搭桥，居民选购商品住房安置</t>
  </si>
  <si>
    <t>其中：居民自由支配货币补偿款</t>
  </si>
  <si>
    <r>
      <rPr>
        <b/>
        <sz val="16"/>
        <rFont val="方正仿宋_GBK"/>
        <family val="0"/>
      </rPr>
      <t>编号栏</t>
    </r>
  </si>
  <si>
    <t>1=5+8+11</t>
  </si>
  <si>
    <t>2=6+9+12</t>
  </si>
  <si>
    <t>7=6/5</t>
  </si>
  <si>
    <t>10=9/8</t>
  </si>
  <si>
    <t>13=12/11</t>
  </si>
  <si>
    <r>
      <t>2018</t>
    </r>
    <r>
      <rPr>
        <b/>
        <sz val="20"/>
        <rFont val="宋体"/>
        <family val="0"/>
      </rPr>
      <t>自新增</t>
    </r>
  </si>
  <si>
    <r>
      <t>2019</t>
    </r>
    <r>
      <rPr>
        <sz val="20"/>
        <rFont val="宋体"/>
        <family val="0"/>
      </rPr>
      <t>国家</t>
    </r>
  </si>
  <si>
    <r>
      <t>2019</t>
    </r>
    <r>
      <rPr>
        <sz val="20"/>
        <rFont val="宋体"/>
        <family val="0"/>
      </rPr>
      <t>新增</t>
    </r>
  </si>
  <si>
    <r>
      <rPr>
        <b/>
        <sz val="16"/>
        <rFont val="方正仿宋_GBK"/>
        <family val="0"/>
      </rPr>
      <t>国家任务</t>
    </r>
  </si>
  <si>
    <r>
      <rPr>
        <b/>
        <sz val="16"/>
        <rFont val="方正仿宋_GBK"/>
        <family val="0"/>
      </rPr>
      <t>自治区任务数</t>
    </r>
  </si>
  <si>
    <r>
      <rPr>
        <b/>
        <sz val="16"/>
        <rFont val="方正仿宋_GBK"/>
        <family val="0"/>
      </rPr>
      <t>桂林市</t>
    </r>
  </si>
  <si>
    <r>
      <rPr>
        <b/>
        <sz val="16"/>
        <rFont val="方正仿宋_GBK"/>
        <family val="0"/>
      </rPr>
      <t>北海市</t>
    </r>
  </si>
  <si>
    <r>
      <rPr>
        <b/>
        <sz val="16"/>
        <rFont val="方正仿宋_GBK"/>
        <family val="0"/>
      </rPr>
      <t>防城港市</t>
    </r>
  </si>
  <si>
    <r>
      <rPr>
        <b/>
        <sz val="16"/>
        <rFont val="方正仿宋_GBK"/>
        <family val="0"/>
      </rPr>
      <t>钦州市</t>
    </r>
  </si>
  <si>
    <r>
      <rPr>
        <b/>
        <sz val="16"/>
        <rFont val="方正仿宋_GBK"/>
        <family val="0"/>
      </rPr>
      <t>玉林市</t>
    </r>
  </si>
  <si>
    <r>
      <t>6827</t>
    </r>
    <r>
      <rPr>
        <sz val="20"/>
        <color indexed="10"/>
        <rFont val="宋体"/>
        <family val="0"/>
      </rPr>
      <t>（为</t>
    </r>
    <r>
      <rPr>
        <sz val="20"/>
        <color indexed="10"/>
        <rFont val="Times New Roman"/>
        <family val="0"/>
      </rPr>
      <t>2018</t>
    </r>
    <r>
      <rPr>
        <sz val="20"/>
        <color indexed="10"/>
        <rFont val="宋体"/>
        <family val="0"/>
      </rPr>
      <t>年盈余项目，转为</t>
    </r>
    <r>
      <rPr>
        <sz val="20"/>
        <color indexed="10"/>
        <rFont val="Times New Roman"/>
        <family val="0"/>
      </rPr>
      <t>2019</t>
    </r>
    <r>
      <rPr>
        <sz val="20"/>
        <color indexed="10"/>
        <rFont val="宋体"/>
        <family val="0"/>
      </rPr>
      <t>年国家任务）</t>
    </r>
    <r>
      <rPr>
        <sz val="20"/>
        <color indexed="10"/>
        <rFont val="Times New Roman"/>
        <family val="0"/>
      </rPr>
      <t>+48</t>
    </r>
  </si>
  <si>
    <r>
      <rPr>
        <b/>
        <sz val="16"/>
        <rFont val="方正仿宋_GBK"/>
        <family val="0"/>
      </rPr>
      <t>来宾市</t>
    </r>
  </si>
  <si>
    <r>
      <rPr>
        <b/>
        <sz val="16"/>
        <rFont val="方正仿宋_GBK"/>
        <family val="0"/>
      </rPr>
      <t>崇左市</t>
    </r>
  </si>
  <si>
    <r>
      <rPr>
        <b/>
        <sz val="16"/>
        <rFont val="方正仿宋_GBK"/>
        <family val="0"/>
      </rPr>
      <t>区直危旧房改造</t>
    </r>
  </si>
  <si>
    <r>
      <rPr>
        <b/>
        <sz val="16"/>
        <rFont val="方正仿宋_GBK"/>
        <family val="0"/>
      </rPr>
      <t>南宁危旧房改造</t>
    </r>
  </si>
  <si>
    <t>备注：为继续督促棚户区改造在建项目情况，在表中列入北海市和来宾市2019年度项目进展情况，但不列入2020年度国家任务统计范围。</t>
  </si>
  <si>
    <t xml:space="preserve">2020年全区棚户区改造项目开工情况通报表
（截至2020年6月25日）     </t>
  </si>
  <si>
    <r>
      <rPr>
        <b/>
        <sz val="16"/>
        <rFont val="方正仿宋_GBK"/>
        <family val="0"/>
      </rPr>
      <t>柳州市</t>
    </r>
  </si>
  <si>
    <t>备注：为继续督促棚户区改造在建项目情况，在表中列入北海市和来宾市2019年国家任务进展情况，但不列入2020年度国家任务统计范围。</t>
  </si>
  <si>
    <t xml:space="preserve">北海市     </t>
  </si>
  <si>
    <t xml:space="preserve">崇左市     </t>
  </si>
  <si>
    <t xml:space="preserve">玉林市     </t>
  </si>
  <si>
    <t xml:space="preserve">百色市     </t>
  </si>
  <si>
    <t xml:space="preserve">贺州市     </t>
  </si>
  <si>
    <t xml:space="preserve">梧州市      </t>
  </si>
  <si>
    <t xml:space="preserve">防城港市      </t>
  </si>
  <si>
    <t xml:space="preserve">河池市     </t>
  </si>
  <si>
    <t xml:space="preserve">桂林市     </t>
  </si>
  <si>
    <t xml:space="preserve">来宾市     </t>
  </si>
  <si>
    <t xml:space="preserve">贵港市     </t>
  </si>
  <si>
    <t xml:space="preserve">钦州市     </t>
  </si>
  <si>
    <t>南宁市1</t>
  </si>
  <si>
    <t>柳州市2</t>
  </si>
  <si>
    <t xml:space="preserve">桂林市3   </t>
  </si>
  <si>
    <t>梧州市 4</t>
  </si>
  <si>
    <t>北海市5</t>
  </si>
  <si>
    <t>防城港市6</t>
  </si>
  <si>
    <t>钦州市7</t>
  </si>
  <si>
    <t>贵港市8</t>
  </si>
  <si>
    <t>玉林市9</t>
  </si>
  <si>
    <t>百色市10</t>
  </si>
  <si>
    <t>贺州市11</t>
  </si>
  <si>
    <t>河池市12</t>
  </si>
  <si>
    <t>来宾市13</t>
  </si>
  <si>
    <t>崇左市14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</si>
</sst>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_"/>
    <numFmt numFmtId="179" formatCode="0_ ;[Red]\-0\ "/>
    <numFmt numFmtId="180" formatCode="0.00_ "/>
    <numFmt numFmtId="181" formatCode="0.00_);[Red]\(0.00\)"/>
  </numFmts>
  <fonts count="21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color indexed="10"/>
      <name val="黑体"/>
      <family val="3"/>
    </font>
    <font>
      <sz val="12"/>
      <color indexed="8"/>
      <name val="宋体"/>
      <family val="0"/>
    </font>
    <font>
      <sz val="20"/>
      <name val="Times New Roman"/>
      <family val="0"/>
    </font>
    <font>
      <b/>
      <sz val="20"/>
      <name val="Times New Roman"/>
      <family val="0"/>
    </font>
    <font>
      <sz val="16"/>
      <name val="宋体"/>
      <family val="0"/>
    </font>
    <font>
      <sz val="24"/>
      <name val="黑体"/>
      <family val="3"/>
    </font>
    <font>
      <b/>
      <sz val="28"/>
      <name val="方正小标宋_GBK"/>
      <family val="0"/>
    </font>
    <font>
      <sz val="28"/>
      <name val="方正小标宋_GBK"/>
      <family val="0"/>
    </font>
    <font>
      <sz val="28"/>
      <color indexed="8"/>
      <name val="方正小标宋_GBK"/>
      <family val="0"/>
    </font>
    <font>
      <b/>
      <sz val="16"/>
      <name val="Times New Roman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6"/>
      <name val="方正仿宋_GBK"/>
      <family val="0"/>
    </font>
    <font>
      <sz val="1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20"/>
      <color indexed="10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sz val="20"/>
      <name val="宋体"/>
      <family val="0"/>
    </font>
    <font>
      <sz val="20"/>
      <color indexed="10"/>
      <name val="Times New Roman"/>
      <family val="0"/>
    </font>
    <font>
      <b/>
      <sz val="20"/>
      <color indexed="10"/>
      <name val="Times New Roman"/>
      <family val="0"/>
    </font>
    <font>
      <b/>
      <sz val="20"/>
      <name val="宋体"/>
      <family val="0"/>
    </font>
    <font>
      <b/>
      <sz val="20"/>
      <color indexed="8"/>
      <name val="Times New Roman"/>
      <family val="0"/>
    </font>
    <font>
      <sz val="20"/>
      <color indexed="8"/>
      <name val="Times New Roman"/>
      <family val="0"/>
    </font>
    <font>
      <sz val="16"/>
      <name val="黑体"/>
      <family val="3"/>
    </font>
    <font>
      <b/>
      <sz val="10"/>
      <name val="宋体"/>
      <family val="0"/>
    </font>
    <font>
      <sz val="14"/>
      <name val="黑体"/>
      <family val="3"/>
    </font>
    <font>
      <b/>
      <sz val="10"/>
      <color indexed="8"/>
      <name val="宋体"/>
      <family val="0"/>
    </font>
    <font>
      <sz val="16"/>
      <color indexed="10"/>
      <name val="黑体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6"/>
      <name val="Times New Roman"/>
      <family val="0"/>
    </font>
    <font>
      <sz val="18"/>
      <name val="黑体"/>
      <family val="3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sz val="10"/>
      <color indexed="8"/>
      <name val="Times New Roman"/>
      <family val="0"/>
    </font>
    <font>
      <sz val="18"/>
      <color indexed="8"/>
      <name val="Times New Roman"/>
      <family val="0"/>
    </font>
    <font>
      <sz val="20"/>
      <color indexed="8"/>
      <name val="方正黑体_GBK"/>
      <family val="0"/>
    </font>
    <font>
      <sz val="12"/>
      <color indexed="8"/>
      <name val="Times New Roman"/>
      <family val="0"/>
    </font>
    <font>
      <sz val="22"/>
      <color indexed="8"/>
      <name val="方正小标宋_GBK"/>
      <family val="0"/>
    </font>
    <font>
      <sz val="16"/>
      <color indexed="8"/>
      <name val="方正小标宋_GBK"/>
      <family val="0"/>
    </font>
    <font>
      <b/>
      <sz val="14"/>
      <name val="方正仿宋_GBK"/>
      <family val="0"/>
    </font>
    <font>
      <sz val="14"/>
      <name val="Times New Roman"/>
      <family val="0"/>
    </font>
    <font>
      <sz val="12"/>
      <name val="Times New Roman"/>
      <family val="0"/>
    </font>
    <font>
      <sz val="14"/>
      <color indexed="8"/>
      <name val="Times New Roman"/>
      <family val="0"/>
    </font>
    <font>
      <sz val="14"/>
      <name val="方正仿宋_GBK"/>
      <family val="0"/>
    </font>
    <font>
      <sz val="14"/>
      <color indexed="8"/>
      <name val="宋体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0"/>
    </font>
    <font>
      <sz val="36"/>
      <name val="黑体"/>
      <family val="3"/>
    </font>
    <font>
      <sz val="28"/>
      <name val="Times New Roman"/>
      <family val="0"/>
    </font>
    <font>
      <b/>
      <sz val="18"/>
      <name val="方正书宋_GBK"/>
      <family val="0"/>
    </font>
    <font>
      <sz val="18"/>
      <name val="Times New Roman"/>
      <family val="0"/>
    </font>
    <font>
      <sz val="16"/>
      <name val="方正仿宋_GBK"/>
      <family val="0"/>
    </font>
    <font>
      <sz val="12"/>
      <name val="方正仿宋_GBK"/>
      <family val="0"/>
    </font>
    <font>
      <sz val="26"/>
      <name val="黑体"/>
      <family val="3"/>
    </font>
    <font>
      <sz val="18"/>
      <name val="方正小标宋简体"/>
      <family val="0"/>
    </font>
    <font>
      <b/>
      <sz val="20"/>
      <name val="方正仿宋_GBK"/>
      <family val="0"/>
    </font>
    <font>
      <b/>
      <sz val="18"/>
      <name val="方正仿宋_GBK"/>
      <family val="0"/>
    </font>
    <font>
      <sz val="18"/>
      <name val="方正仿宋_GBK"/>
      <family val="0"/>
    </font>
    <font>
      <sz val="20"/>
      <name val="方正仿宋_GBK"/>
      <family val="0"/>
    </font>
    <font>
      <sz val="20"/>
      <color indexed="40"/>
      <name val="Times New Roman"/>
      <family val="0"/>
    </font>
    <font>
      <sz val="24"/>
      <name val="Times New Roman"/>
      <family val="0"/>
    </font>
    <font>
      <sz val="24"/>
      <name val="方正书宋_GBK"/>
      <family val="0"/>
    </font>
    <font>
      <sz val="12"/>
      <name val="方正书宋_GBK"/>
      <family val="0"/>
    </font>
    <font>
      <sz val="18"/>
      <color indexed="10"/>
      <name val="Times New Roman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0"/>
      <name val="Arial"/>
      <family val="0"/>
    </font>
    <font>
      <sz val="20"/>
      <name val="方正小标宋_GBK"/>
      <family val="0"/>
    </font>
    <font>
      <sz val="16"/>
      <name val="方正小标宋_GBK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b/>
      <sz val="11"/>
      <name val="Times New Roman"/>
      <family val="0"/>
    </font>
    <font>
      <sz val="11"/>
      <color indexed="40"/>
      <name val="宋体"/>
      <family val="0"/>
    </font>
    <font>
      <sz val="22"/>
      <name val="方正小标宋_GBK"/>
      <family val="0"/>
    </font>
    <font>
      <sz val="14"/>
      <color indexed="10"/>
      <name val="Times New Roman"/>
      <family val="0"/>
    </font>
    <font>
      <sz val="10"/>
      <color indexed="10"/>
      <name val="Times New Roman"/>
      <family val="0"/>
    </font>
    <font>
      <sz val="10"/>
      <color indexed="8"/>
      <name val="黑体"/>
      <family val="3"/>
    </font>
    <font>
      <b/>
      <sz val="12"/>
      <color indexed="8"/>
      <name val="宋体"/>
      <family val="0"/>
    </font>
    <font>
      <sz val="28"/>
      <color indexed="8"/>
      <name val="方正黑体_GBK"/>
      <family val="0"/>
    </font>
    <font>
      <b/>
      <sz val="48"/>
      <color indexed="8"/>
      <name val="方正小标宋_GBK"/>
      <family val="0"/>
    </font>
    <font>
      <sz val="28"/>
      <color indexed="8"/>
      <name val="方正楷体_GBK"/>
      <family val="3"/>
    </font>
    <font>
      <b/>
      <sz val="22"/>
      <name val="宋体"/>
      <family val="0"/>
    </font>
    <font>
      <b/>
      <sz val="22"/>
      <name val="方正仿宋_GBK"/>
      <family val="0"/>
    </font>
    <font>
      <b/>
      <sz val="22"/>
      <name val="Times New Roman"/>
      <family val="0"/>
    </font>
    <font>
      <b/>
      <sz val="24"/>
      <name val="Times New Roman"/>
      <family val="0"/>
    </font>
    <font>
      <sz val="24"/>
      <name val="方正仿宋_GBK"/>
      <family val="0"/>
    </font>
    <font>
      <sz val="24"/>
      <color indexed="8"/>
      <name val="方正仿宋_GBK"/>
      <family val="0"/>
    </font>
    <font>
      <b/>
      <sz val="24"/>
      <color indexed="10"/>
      <name val="Times New Roman"/>
      <family val="0"/>
    </font>
    <font>
      <sz val="24"/>
      <color indexed="10"/>
      <name val="Times New Roman"/>
      <family val="0"/>
    </font>
    <font>
      <sz val="12"/>
      <color indexed="8"/>
      <name val="黑体"/>
      <family val="3"/>
    </font>
    <font>
      <sz val="22"/>
      <color indexed="8"/>
      <name val="Times New Roman"/>
      <family val="0"/>
    </font>
    <font>
      <sz val="16"/>
      <color indexed="8"/>
      <name val="Times New Roman"/>
      <family val="0"/>
    </font>
    <font>
      <b/>
      <sz val="37"/>
      <name val="黑体"/>
      <family val="3"/>
    </font>
    <font>
      <b/>
      <sz val="18"/>
      <name val="宋体"/>
      <family val="0"/>
    </font>
    <font>
      <sz val="36"/>
      <name val="方正小标宋_GBK"/>
      <family val="0"/>
    </font>
    <font>
      <sz val="22"/>
      <name val="方正仿宋_GBK"/>
      <family val="0"/>
    </font>
    <font>
      <sz val="22"/>
      <name val="Times New Roman"/>
      <family val="0"/>
    </font>
    <font>
      <b/>
      <sz val="36"/>
      <name val="方正小标宋_GBK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宋体"/>
      <family val="0"/>
    </font>
    <font>
      <sz val="18"/>
      <color indexed="8"/>
      <name val="黑体"/>
      <family val="3"/>
    </font>
    <font>
      <b/>
      <sz val="14"/>
      <color indexed="8"/>
      <name val="方正仿宋_GBK"/>
      <family val="0"/>
    </font>
    <font>
      <b/>
      <sz val="14"/>
      <name val="方正书宋_GBK"/>
      <family val="0"/>
    </font>
    <font>
      <sz val="14"/>
      <color indexed="8"/>
      <name val="方正仿宋_GBK"/>
      <family val="0"/>
    </font>
    <font>
      <sz val="10"/>
      <color indexed="8"/>
      <name val="方正书宋_GBK"/>
      <family val="0"/>
    </font>
    <font>
      <b/>
      <sz val="20"/>
      <name val="方正书宋_GBK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黑体"/>
      <family val="3"/>
    </font>
    <font>
      <sz val="12"/>
      <color theme="1"/>
      <name val="宋体"/>
      <family val="0"/>
    </font>
    <font>
      <sz val="28"/>
      <color theme="1"/>
      <name val="方正小标宋_GBK"/>
      <family val="0"/>
    </font>
    <font>
      <b/>
      <sz val="14"/>
      <color theme="1"/>
      <name val="Times New Roman"/>
      <family val="0"/>
    </font>
    <font>
      <b/>
      <sz val="16"/>
      <color theme="1"/>
      <name val="Times New Roman"/>
      <family val="0"/>
    </font>
    <font>
      <sz val="20"/>
      <color rgb="FFFF0000"/>
      <name val="宋体"/>
      <family val="0"/>
    </font>
    <font>
      <sz val="20"/>
      <color rgb="FFFF0000"/>
      <name val="Times New Roman"/>
      <family val="0"/>
    </font>
    <font>
      <b/>
      <sz val="20"/>
      <color rgb="FFFF0000"/>
      <name val="Times New Roman"/>
      <family val="0"/>
    </font>
    <font>
      <b/>
      <sz val="20"/>
      <color theme="1"/>
      <name val="Times New Roman"/>
      <family val="0"/>
    </font>
    <font>
      <sz val="20"/>
      <color theme="1"/>
      <name val="Times New Roman"/>
      <family val="0"/>
    </font>
    <font>
      <b/>
      <sz val="10"/>
      <color rgb="FF000000"/>
      <name val="宋体"/>
      <family val="0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1"/>
      <color theme="1"/>
      <name val="Times New Roman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0"/>
    </font>
    <font>
      <sz val="20"/>
      <color rgb="FF000000"/>
      <name val="方正黑体_GBK"/>
      <family val="0"/>
    </font>
    <font>
      <sz val="22"/>
      <color theme="1"/>
      <name val="方正小标宋_GBK"/>
      <family val="0"/>
    </font>
    <font>
      <sz val="16"/>
      <color rgb="FF000000"/>
      <name val="方正小标宋_GBK"/>
      <family val="0"/>
    </font>
    <font>
      <b/>
      <sz val="14"/>
      <color rgb="FF000000"/>
      <name val="Times New Roman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  <font>
      <sz val="14"/>
      <color theme="1"/>
      <name val="宋体"/>
      <family val="0"/>
    </font>
    <font>
      <b/>
      <sz val="11"/>
      <color theme="1"/>
      <name val="Times New Roman"/>
      <family val="0"/>
    </font>
    <font>
      <b/>
      <sz val="12"/>
      <color theme="1"/>
      <name val="Times New Roman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Times New Roman"/>
      <family val="0"/>
    </font>
    <font>
      <sz val="20"/>
      <color rgb="FF00B0F0"/>
      <name val="Times New Roman"/>
      <family val="0"/>
    </font>
    <font>
      <sz val="20"/>
      <color rgb="FF000000"/>
      <name val="Times New Roman"/>
      <family val="0"/>
    </font>
    <font>
      <sz val="18"/>
      <color rgb="FFFF0000"/>
      <name val="Times New Roman"/>
      <family val="0"/>
    </font>
    <font>
      <sz val="11"/>
      <name val="Calibri"/>
      <family val="0"/>
    </font>
    <font>
      <sz val="16"/>
      <color theme="1"/>
      <name val="Calibri"/>
      <family val="0"/>
    </font>
    <font>
      <sz val="11"/>
      <color rgb="FF00B0F0"/>
      <name val="Calibri"/>
      <family val="0"/>
    </font>
    <font>
      <sz val="14"/>
      <color rgb="FFFF0000"/>
      <name val="Times New Roman"/>
      <family val="0"/>
    </font>
    <font>
      <sz val="10"/>
      <color rgb="FFFF0000"/>
      <name val="Times New Roman"/>
      <family val="0"/>
    </font>
    <font>
      <sz val="10"/>
      <color theme="1"/>
      <name val="黑体"/>
      <family val="3"/>
    </font>
    <font>
      <b/>
      <sz val="12"/>
      <color theme="1"/>
      <name val="宋体"/>
      <family val="0"/>
    </font>
    <font>
      <sz val="28"/>
      <color theme="1"/>
      <name val="方正黑体_GBK"/>
      <family val="0"/>
    </font>
    <font>
      <b/>
      <sz val="48"/>
      <color theme="1"/>
      <name val="方正小标宋_GBK"/>
      <family val="0"/>
    </font>
    <font>
      <sz val="28"/>
      <color theme="1"/>
      <name val="方正楷体_GBK"/>
      <family val="3"/>
    </font>
    <font>
      <sz val="24"/>
      <color theme="1"/>
      <name val="方正仿宋_GBK"/>
      <family val="0"/>
    </font>
    <font>
      <b/>
      <sz val="24"/>
      <color rgb="FFFF0000"/>
      <name val="Times New Roman"/>
      <family val="0"/>
    </font>
    <font>
      <sz val="24"/>
      <color rgb="FFFF0000"/>
      <name val="Times New Roman"/>
      <family val="0"/>
    </font>
    <font>
      <sz val="12"/>
      <color theme="1"/>
      <name val="黑体"/>
      <family val="3"/>
    </font>
    <font>
      <sz val="22"/>
      <color theme="1"/>
      <name val="Times New Roman"/>
      <family val="0"/>
    </font>
    <font>
      <sz val="16"/>
      <color rgb="FF000000"/>
      <name val="Times New Roman"/>
      <family val="0"/>
    </font>
    <font>
      <b/>
      <sz val="18"/>
      <name val="Calibri"/>
      <family val="0"/>
    </font>
    <font>
      <sz val="16"/>
      <color rgb="FF000000"/>
      <name val="宋体"/>
      <family val="0"/>
    </font>
    <font>
      <b/>
      <sz val="22"/>
      <name val="Calibri"/>
      <family val="0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thin"/>
      <diagonal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 diagonalDown="1">
      <left style="medium"/>
      <right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medium"/>
      <right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/>
      <top style="medium"/>
      <bottom style="thin"/>
      <diagonal style="thin"/>
    </border>
    <border>
      <left style="medium"/>
      <right/>
      <top style="thin"/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142" fillId="2" borderId="0" applyNumberFormat="0" applyBorder="0" applyAlignment="0" applyProtection="0"/>
    <xf numFmtId="0" fontId="0" fillId="3" borderId="0" applyNumberFormat="0" applyBorder="0" applyAlignment="0" applyProtection="0"/>
    <xf numFmtId="0" fontId="143" fillId="4" borderId="1" applyNumberFormat="0" applyAlignment="0" applyProtection="0"/>
    <xf numFmtId="0" fontId="144" fillId="5" borderId="2" applyNumberFormat="0" applyAlignment="0" applyProtection="0"/>
    <xf numFmtId="0" fontId="145" fillId="6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49" fillId="0" borderId="0" applyNumberFormat="0" applyFill="0" applyBorder="0" applyAlignment="0" applyProtection="0"/>
    <xf numFmtId="0" fontId="142" fillId="9" borderId="0" applyNumberFormat="0" applyBorder="0" applyAlignment="0" applyProtection="0"/>
    <xf numFmtId="0" fontId="150" fillId="0" borderId="4" applyNumberFormat="0" applyFill="0" applyAlignment="0" applyProtection="0"/>
    <xf numFmtId="0" fontId="15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42" fillId="12" borderId="0" applyNumberFormat="0" applyBorder="0" applyAlignment="0" applyProtection="0"/>
    <xf numFmtId="43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1" fillId="0" borderId="0">
      <alignment vertical="center"/>
      <protection/>
    </xf>
    <xf numFmtId="0" fontId="0" fillId="13" borderId="0" applyNumberFormat="0" applyBorder="0" applyAlignment="0" applyProtection="0"/>
    <xf numFmtId="0" fontId="61" fillId="0" borderId="0">
      <alignment vertical="center"/>
      <protection/>
    </xf>
    <xf numFmtId="0" fontId="154" fillId="0" borderId="6" applyNumberFormat="0" applyFill="0" applyAlignment="0" applyProtection="0"/>
    <xf numFmtId="0" fontId="15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142" fillId="17" borderId="0" applyNumberFormat="0" applyBorder="0" applyAlignment="0" applyProtection="0"/>
    <xf numFmtId="0" fontId="156" fillId="18" borderId="0" applyNumberFormat="0" applyBorder="0" applyAlignment="0" applyProtection="0"/>
    <xf numFmtId="0" fontId="0" fillId="19" borderId="0" applyNumberFormat="0" applyBorder="0" applyAlignment="0" applyProtection="0"/>
    <xf numFmtId="0" fontId="157" fillId="20" borderId="0" applyNumberFormat="0" applyBorder="0" applyAlignment="0" applyProtection="0"/>
    <xf numFmtId="0" fontId="158" fillId="4" borderId="8" applyNumberFormat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9" fontId="0" fillId="0" borderId="0" applyFont="0" applyFill="0" applyBorder="0" applyAlignment="0" applyProtection="0"/>
    <xf numFmtId="0" fontId="142" fillId="26" borderId="0" applyNumberFormat="0" applyBorder="0" applyAlignment="0" applyProtection="0"/>
    <xf numFmtId="44" fontId="0" fillId="0" borderId="0" applyFont="0" applyFill="0" applyBorder="0" applyAlignment="0" applyProtection="0"/>
    <xf numFmtId="0" fontId="142" fillId="27" borderId="0" applyNumberFormat="0" applyBorder="0" applyAlignment="0" applyProtection="0"/>
    <xf numFmtId="0" fontId="0" fillId="28" borderId="0" applyNumberFormat="0" applyBorder="0" applyAlignment="0" applyProtection="0"/>
    <xf numFmtId="0" fontId="159" fillId="29" borderId="8" applyNumberFormat="0" applyAlignment="0" applyProtection="0"/>
    <xf numFmtId="0" fontId="0" fillId="30" borderId="0" applyNumberFormat="0" applyBorder="0" applyAlignment="0" applyProtection="0"/>
    <xf numFmtId="0" fontId="142" fillId="31" borderId="0" applyNumberFormat="0" applyBorder="0" applyAlignment="0" applyProtection="0"/>
    <xf numFmtId="0" fontId="0" fillId="32" borderId="0" applyNumberFormat="0" applyBorder="0" applyAlignment="0" applyProtection="0"/>
  </cellStyleXfs>
  <cellXfs count="88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61" applyNumberFormat="1" applyAlignment="1">
      <alignment vertical="center"/>
    </xf>
    <xf numFmtId="0" fontId="2" fillId="0" borderId="0" xfId="16" applyFont="1" applyAlignment="1">
      <alignment horizontal="left"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60" fillId="0" borderId="0" xfId="16" applyFont="1" applyFill="1" applyAlignment="1">
      <alignment horizontal="center" vertical="center" wrapText="1"/>
      <protection/>
    </xf>
    <xf numFmtId="0" fontId="3" fillId="0" borderId="0" xfId="16" applyFont="1" applyFill="1" applyAlignment="1">
      <alignment horizontal="left"/>
      <protection/>
    </xf>
    <xf numFmtId="176" fontId="2" fillId="0" borderId="0" xfId="16" applyNumberFormat="1" applyFont="1">
      <alignment/>
      <protection/>
    </xf>
    <xf numFmtId="0" fontId="3" fillId="0" borderId="0" xfId="16" applyFont="1" applyAlignment="1">
      <alignment horizontal="left"/>
      <protection/>
    </xf>
    <xf numFmtId="0" fontId="161" fillId="0" borderId="0" xfId="16" applyFont="1" applyAlignment="1">
      <alignment horizontal="left"/>
      <protection/>
    </xf>
    <xf numFmtId="10" fontId="3" fillId="0" borderId="0" xfId="16" applyNumberFormat="1" applyFont="1" applyAlignment="1">
      <alignment horizontal="left"/>
      <protection/>
    </xf>
    <xf numFmtId="177" fontId="3" fillId="0" borderId="0" xfId="16" applyNumberFormat="1" applyFont="1">
      <alignment/>
      <protection/>
    </xf>
    <xf numFmtId="10" fontId="3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7" fillId="0" borderId="0" xfId="16" applyFont="1" applyFill="1" applyAlignment="1">
      <alignment horizontal="left" wrapText="1"/>
      <protection/>
    </xf>
    <xf numFmtId="0" fontId="8" fillId="0" borderId="0" xfId="16" applyFont="1" applyFill="1" applyAlignment="1">
      <alignment horizontal="left" wrapText="1"/>
      <protection/>
    </xf>
    <xf numFmtId="0" fontId="7" fillId="33" borderId="0" xfId="16" applyFont="1" applyFill="1" applyAlignment="1">
      <alignment horizontal="left" wrapText="1"/>
      <protection/>
    </xf>
    <xf numFmtId="0" fontId="9" fillId="0" borderId="0" xfId="16" applyFont="1" applyFill="1" applyAlignment="1">
      <alignment horizontal="left"/>
      <protection/>
    </xf>
    <xf numFmtId="0" fontId="10" fillId="0" borderId="0" xfId="16" applyFont="1" applyFill="1" applyAlignment="1">
      <alignment horizontal="left"/>
      <protection/>
    </xf>
    <xf numFmtId="0" fontId="2" fillId="0" borderId="0" xfId="16" applyFont="1" applyFill="1" applyAlignment="1">
      <alignment horizontal="left"/>
      <protection/>
    </xf>
    <xf numFmtId="0" fontId="161" fillId="0" borderId="0" xfId="16" applyFont="1" applyFill="1" applyAlignment="1">
      <alignment horizontal="left"/>
      <protection/>
    </xf>
    <xf numFmtId="0" fontId="11" fillId="0" borderId="9" xfId="1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62" fillId="0" borderId="0" xfId="0" applyFont="1" applyFill="1" applyBorder="1" applyAlignment="1">
      <alignment horizontal="center" vertical="center" wrapText="1"/>
    </xf>
    <xf numFmtId="0" fontId="14" fillId="0" borderId="10" xfId="16" applyFont="1" applyFill="1" applyBorder="1" applyAlignment="1">
      <alignment horizontal="center" vertical="center" wrapText="1"/>
      <protection/>
    </xf>
    <xf numFmtId="0" fontId="15" fillId="0" borderId="11" xfId="16" applyFont="1" applyFill="1" applyBorder="1" applyAlignment="1">
      <alignment horizontal="center" vertical="center" wrapText="1"/>
      <protection/>
    </xf>
    <xf numFmtId="0" fontId="15" fillId="0" borderId="12" xfId="16" applyFont="1" applyFill="1" applyBorder="1" applyAlignment="1">
      <alignment horizontal="center" vertical="center" wrapText="1"/>
      <protection/>
    </xf>
    <xf numFmtId="0" fontId="14" fillId="0" borderId="13" xfId="16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3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3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4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178" fontId="14" fillId="0" borderId="23" xfId="0" applyNumberFormat="1" applyFont="1" applyFill="1" applyBorder="1" applyAlignment="1">
      <alignment horizontal="center" vertical="center" wrapText="1"/>
    </xf>
    <xf numFmtId="178" fontId="164" fillId="0" borderId="24" xfId="0" applyNumberFormat="1" applyFont="1" applyFill="1" applyBorder="1" applyAlignment="1">
      <alignment horizontal="center" vertical="center" wrapText="1"/>
    </xf>
    <xf numFmtId="10" fontId="14" fillId="0" borderId="25" xfId="0" applyNumberFormat="1" applyFont="1" applyFill="1" applyBorder="1" applyAlignment="1">
      <alignment horizontal="center" vertical="center" wrapText="1"/>
    </xf>
    <xf numFmtId="178" fontId="14" fillId="0" borderId="22" xfId="0" applyNumberFormat="1" applyFont="1" applyFill="1" applyBorder="1" applyAlignment="1">
      <alignment horizontal="center" vertical="center" wrapText="1"/>
    </xf>
    <xf numFmtId="178" fontId="14" fillId="0" borderId="25" xfId="0" applyNumberFormat="1" applyFont="1" applyFill="1" applyBorder="1" applyAlignment="1">
      <alignment horizontal="center" vertical="center" wrapText="1"/>
    </xf>
    <xf numFmtId="10" fontId="14" fillId="0" borderId="26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8" fontId="14" fillId="0" borderId="21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78" fontId="14" fillId="0" borderId="28" xfId="0" applyNumberFormat="1" applyFont="1" applyFill="1" applyBorder="1" applyAlignment="1">
      <alignment horizontal="center" vertical="center" wrapText="1"/>
    </xf>
    <xf numFmtId="178" fontId="14" fillId="0" borderId="24" xfId="0" applyNumberFormat="1" applyFont="1" applyFill="1" applyBorder="1" applyAlignment="1">
      <alignment horizontal="center" vertical="center" wrapText="1"/>
    </xf>
    <xf numFmtId="10" fontId="14" fillId="0" borderId="24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  <xf numFmtId="178" fontId="164" fillId="0" borderId="15" xfId="0" applyNumberFormat="1" applyFont="1" applyFill="1" applyBorder="1" applyAlignment="1">
      <alignment horizontal="center" vertical="center" wrapText="1"/>
    </xf>
    <xf numFmtId="10" fontId="14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78" fontId="164" fillId="0" borderId="18" xfId="0" applyNumberFormat="1" applyFont="1" applyFill="1" applyBorder="1" applyAlignment="1">
      <alignment horizontal="center" vertical="center" wrapText="1"/>
    </xf>
    <xf numFmtId="10" fontId="14" fillId="0" borderId="18" xfId="0" applyNumberFormat="1" applyFont="1" applyFill="1" applyBorder="1" applyAlignment="1">
      <alignment horizontal="center" vertical="center" wrapText="1"/>
    </xf>
    <xf numFmtId="0" fontId="20" fillId="0" borderId="0" xfId="16" applyFont="1" applyFill="1" applyAlignment="1">
      <alignment horizontal="left" vertical="center" wrapText="1"/>
      <protection/>
    </xf>
    <xf numFmtId="0" fontId="2" fillId="0" borderId="0" xfId="16" applyFont="1" applyAlignment="1">
      <alignment horizontal="left" vertical="center"/>
      <protection/>
    </xf>
    <xf numFmtId="10" fontId="161" fillId="0" borderId="0" xfId="61" applyNumberFormat="1" applyFont="1" applyFill="1" applyBorder="1" applyAlignment="1" applyProtection="1">
      <alignment horizontal="left" vertical="center"/>
      <protection/>
    </xf>
    <xf numFmtId="0" fontId="161" fillId="0" borderId="0" xfId="16" applyFont="1" applyAlignment="1">
      <alignment horizontal="left" vertical="center"/>
      <protection/>
    </xf>
    <xf numFmtId="10" fontId="3" fillId="0" borderId="0" xfId="16" applyNumberFormat="1" applyFont="1" applyFill="1" applyAlignment="1">
      <alignment horizontal="left"/>
      <protection/>
    </xf>
    <xf numFmtId="10" fontId="12" fillId="0" borderId="0" xfId="0" applyNumberFormat="1" applyFont="1" applyFill="1" applyBorder="1" applyAlignment="1">
      <alignment horizontal="center" vertical="center" wrapText="1"/>
    </xf>
    <xf numFmtId="0" fontId="15" fillId="0" borderId="31" xfId="16" applyFont="1" applyFill="1" applyBorder="1" applyAlignment="1">
      <alignment horizontal="center" vertical="center" wrapText="1"/>
      <protection/>
    </xf>
    <xf numFmtId="0" fontId="15" fillId="0" borderId="32" xfId="16" applyFont="1" applyFill="1" applyBorder="1" applyAlignment="1">
      <alignment horizontal="center" vertical="center" wrapText="1"/>
      <protection/>
    </xf>
    <xf numFmtId="0" fontId="15" fillId="0" borderId="33" xfId="16" applyFont="1" applyFill="1" applyBorder="1" applyAlignment="1">
      <alignment horizontal="center" vertical="center" wrapText="1"/>
      <protection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16" applyFont="1" applyFill="1" applyBorder="1" applyAlignment="1">
      <alignment horizontal="center" vertical="center" wrapText="1"/>
      <protection/>
    </xf>
    <xf numFmtId="9" fontId="21" fillId="0" borderId="36" xfId="16" applyNumberFormat="1" applyFont="1" applyFill="1" applyBorder="1" applyAlignment="1">
      <alignment horizontal="center" vertical="center" wrapText="1"/>
      <protection/>
    </xf>
    <xf numFmtId="10" fontId="16" fillId="0" borderId="37" xfId="16" applyNumberFormat="1" applyFont="1" applyFill="1" applyBorder="1" applyAlignment="1">
      <alignment horizontal="center" vertical="center" wrapText="1"/>
      <protection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16" applyFont="1" applyFill="1" applyBorder="1" applyAlignment="1">
      <alignment horizontal="center" vertical="center" wrapText="1"/>
      <protection/>
    </xf>
    <xf numFmtId="9" fontId="16" fillId="0" borderId="40" xfId="16" applyNumberFormat="1" applyFont="1" applyFill="1" applyBorder="1" applyAlignment="1">
      <alignment horizontal="center" vertical="center" wrapText="1"/>
      <protection/>
    </xf>
    <xf numFmtId="10" fontId="16" fillId="0" borderId="41" xfId="16" applyNumberFormat="1" applyFont="1" applyFill="1" applyBorder="1" applyAlignment="1">
      <alignment horizontal="center" vertical="center" wrapText="1"/>
      <protection/>
    </xf>
    <xf numFmtId="176" fontId="14" fillId="0" borderId="42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176" fontId="14" fillId="0" borderId="44" xfId="0" applyNumberFormat="1" applyFont="1" applyFill="1" applyBorder="1" applyAlignment="1">
      <alignment horizontal="center" vertical="center" wrapText="1"/>
    </xf>
    <xf numFmtId="178" fontId="14" fillId="0" borderId="43" xfId="15" applyNumberFormat="1" applyFont="1" applyFill="1" applyBorder="1" applyAlignment="1">
      <alignment horizontal="center" vertical="center"/>
      <protection/>
    </xf>
    <xf numFmtId="178" fontId="14" fillId="0" borderId="21" xfId="15" applyNumberFormat="1" applyFont="1" applyFill="1" applyBorder="1" applyAlignment="1">
      <alignment horizontal="center" vertical="center"/>
      <protection/>
    </xf>
    <xf numFmtId="10" fontId="14" fillId="0" borderId="42" xfId="15" applyNumberFormat="1" applyFont="1" applyFill="1" applyBorder="1" applyAlignment="1">
      <alignment horizontal="center" vertical="center"/>
      <protection/>
    </xf>
    <xf numFmtId="178" fontId="14" fillId="0" borderId="26" xfId="0" applyNumberFormat="1" applyFont="1" applyFill="1" applyBorder="1" applyAlignment="1">
      <alignment horizontal="center" vertical="center" wrapText="1"/>
    </xf>
    <xf numFmtId="179" fontId="14" fillId="0" borderId="26" xfId="15" applyNumberFormat="1" applyFont="1" applyFill="1" applyBorder="1" applyAlignment="1">
      <alignment horizontal="center" vertical="center"/>
      <protection/>
    </xf>
    <xf numFmtId="0" fontId="14" fillId="0" borderId="25" xfId="0" applyFont="1" applyFill="1" applyBorder="1" applyAlignment="1">
      <alignment horizontal="center" vertical="center"/>
    </xf>
    <xf numFmtId="179" fontId="164" fillId="0" borderId="26" xfId="15" applyNumberFormat="1" applyFont="1" applyFill="1" applyBorder="1" applyAlignment="1">
      <alignment horizontal="center" vertical="center"/>
      <protection/>
    </xf>
    <xf numFmtId="0" fontId="164" fillId="0" borderId="25" xfId="0" applyFont="1" applyFill="1" applyBorder="1" applyAlignment="1">
      <alignment horizontal="center" vertical="center"/>
    </xf>
    <xf numFmtId="10" fontId="164" fillId="0" borderId="42" xfId="15" applyNumberFormat="1" applyFont="1" applyFill="1" applyBorder="1" applyAlignment="1">
      <alignment horizontal="center" vertical="center"/>
      <protection/>
    </xf>
    <xf numFmtId="176" fontId="14" fillId="0" borderId="45" xfId="0" applyNumberFormat="1" applyFont="1" applyFill="1" applyBorder="1" applyAlignment="1">
      <alignment horizontal="center" vertical="center" wrapText="1"/>
    </xf>
    <xf numFmtId="179" fontId="14" fillId="0" borderId="46" xfId="15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horizontal="center" vertical="center"/>
    </xf>
    <xf numFmtId="10" fontId="14" fillId="0" borderId="47" xfId="15" applyNumberFormat="1" applyFont="1" applyFill="1" applyBorder="1" applyAlignment="1">
      <alignment horizontal="center" vertical="center"/>
      <protection/>
    </xf>
    <xf numFmtId="176" fontId="14" fillId="0" borderId="34" xfId="0" applyNumberFormat="1" applyFont="1" applyFill="1" applyBorder="1" applyAlignment="1">
      <alignment horizontal="center" vertical="center" wrapText="1"/>
    </xf>
    <xf numFmtId="179" fontId="14" fillId="0" borderId="48" xfId="15" applyNumberFormat="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horizontal="center" vertical="center"/>
    </xf>
    <xf numFmtId="10" fontId="14" fillId="0" borderId="15" xfId="15" applyNumberFormat="1" applyFont="1" applyFill="1" applyBorder="1" applyAlignment="1">
      <alignment horizontal="center" vertical="center"/>
      <protection/>
    </xf>
    <xf numFmtId="176" fontId="14" fillId="0" borderId="38" xfId="0" applyNumberFormat="1" applyFont="1" applyFill="1" applyBorder="1" applyAlignment="1">
      <alignment horizontal="center" vertical="center" wrapText="1"/>
    </xf>
    <xf numFmtId="10" fontId="14" fillId="0" borderId="49" xfId="15" applyNumberFormat="1" applyFont="1" applyFill="1" applyBorder="1" applyAlignment="1">
      <alignment horizontal="center" vertical="center"/>
      <protection/>
    </xf>
    <xf numFmtId="10" fontId="14" fillId="0" borderId="18" xfId="15" applyNumberFormat="1" applyFont="1" applyFill="1" applyBorder="1" applyAlignment="1">
      <alignment horizontal="center" vertical="center"/>
      <protection/>
    </xf>
    <xf numFmtId="0" fontId="3" fillId="0" borderId="0" xfId="16" applyFont="1" applyAlignment="1">
      <alignment horizontal="left" vertical="center"/>
      <protection/>
    </xf>
    <xf numFmtId="0" fontId="3" fillId="0" borderId="0" xfId="16" applyFont="1" applyFill="1" applyAlignment="1">
      <alignment horizontal="left" vertical="center"/>
      <protection/>
    </xf>
    <xf numFmtId="10" fontId="3" fillId="0" borderId="0" xfId="16" applyNumberFormat="1" applyFont="1" applyAlignment="1">
      <alignment horizontal="left" vertical="center"/>
      <protection/>
    </xf>
    <xf numFmtId="0" fontId="2" fillId="0" borderId="0" xfId="16" applyFont="1" applyAlignment="1">
      <alignment vertical="center"/>
      <protection/>
    </xf>
    <xf numFmtId="177" fontId="3" fillId="0" borderId="0" xfId="16" applyNumberFormat="1" applyFont="1" applyFill="1">
      <alignment/>
      <protection/>
    </xf>
    <xf numFmtId="10" fontId="3" fillId="0" borderId="0" xfId="16" applyNumberFormat="1" applyFont="1" applyFill="1">
      <alignment/>
      <protection/>
    </xf>
    <xf numFmtId="0" fontId="2" fillId="0" borderId="0" xfId="16" applyFont="1" applyFill="1">
      <alignment/>
      <protection/>
    </xf>
    <xf numFmtId="0" fontId="12" fillId="0" borderId="9" xfId="0" applyFont="1" applyFill="1" applyBorder="1" applyAlignment="1">
      <alignment horizontal="center" vertical="center" wrapText="1"/>
    </xf>
    <xf numFmtId="0" fontId="15" fillId="0" borderId="50" xfId="16" applyFont="1" applyFill="1" applyBorder="1" applyAlignment="1">
      <alignment horizontal="center" vertical="center" wrapText="1"/>
      <protection/>
    </xf>
    <xf numFmtId="0" fontId="15" fillId="0" borderId="35" xfId="16" applyFont="1" applyFill="1" applyBorder="1" applyAlignment="1">
      <alignment horizontal="center" vertical="center" wrapText="1"/>
      <protection/>
    </xf>
    <xf numFmtId="0" fontId="16" fillId="0" borderId="51" xfId="16" applyFont="1" applyFill="1" applyBorder="1" applyAlignment="1">
      <alignment horizontal="center" vertical="center" wrapText="1"/>
      <protection/>
    </xf>
    <xf numFmtId="0" fontId="16" fillId="0" borderId="36" xfId="16" applyFont="1" applyFill="1" applyBorder="1" applyAlignment="1">
      <alignment horizontal="center" vertical="center" wrapText="1"/>
      <protection/>
    </xf>
    <xf numFmtId="9" fontId="16" fillId="0" borderId="51" xfId="16" applyNumberFormat="1" applyFont="1" applyFill="1" applyBorder="1" applyAlignment="1">
      <alignment horizontal="center" vertical="center" wrapText="1"/>
      <protection/>
    </xf>
    <xf numFmtId="0" fontId="16" fillId="0" borderId="52" xfId="16" applyFont="1" applyFill="1" applyBorder="1" applyAlignment="1">
      <alignment horizontal="center" vertical="center" wrapText="1"/>
      <protection/>
    </xf>
    <xf numFmtId="0" fontId="16" fillId="0" borderId="40" xfId="16" applyFont="1" applyFill="1" applyBorder="1" applyAlignment="1">
      <alignment horizontal="center" vertical="center" wrapText="1"/>
      <protection/>
    </xf>
    <xf numFmtId="9" fontId="16" fillId="0" borderId="52" xfId="16" applyNumberFormat="1" applyFont="1" applyFill="1" applyBorder="1" applyAlignment="1">
      <alignment horizontal="center" vertical="center" wrapText="1"/>
      <protection/>
    </xf>
    <xf numFmtId="10" fontId="14" fillId="0" borderId="42" xfId="0" applyNumberFormat="1" applyFont="1" applyFill="1" applyBorder="1" applyAlignment="1">
      <alignment horizontal="center" vertical="center" wrapText="1"/>
    </xf>
    <xf numFmtId="178" fontId="14" fillId="0" borderId="20" xfId="15" applyNumberFormat="1" applyFont="1" applyFill="1" applyBorder="1" applyAlignment="1">
      <alignment horizontal="center" vertical="center"/>
      <protection/>
    </xf>
    <xf numFmtId="178" fontId="14" fillId="0" borderId="23" xfId="15" applyNumberFormat="1" applyFont="1" applyFill="1" applyBorder="1" applyAlignment="1">
      <alignment horizontal="center" vertical="center"/>
      <protection/>
    </xf>
    <xf numFmtId="176" fontId="14" fillId="0" borderId="23" xfId="0" applyNumberFormat="1" applyFont="1" applyFill="1" applyBorder="1" applyAlignment="1">
      <alignment horizontal="center" vertical="center" shrinkToFit="1"/>
    </xf>
    <xf numFmtId="178" fontId="14" fillId="0" borderId="25" xfId="0" applyNumberFormat="1" applyFont="1" applyFill="1" applyBorder="1" applyAlignment="1">
      <alignment horizontal="center" vertical="center" shrinkToFit="1"/>
    </xf>
    <xf numFmtId="179" fontId="14" fillId="0" borderId="23" xfId="15" applyNumberFormat="1" applyFont="1" applyFill="1" applyBorder="1" applyAlignment="1">
      <alignment horizontal="center" vertical="center"/>
      <protection/>
    </xf>
    <xf numFmtId="176" fontId="14" fillId="0" borderId="20" xfId="15" applyNumberFormat="1" applyFont="1" applyFill="1" applyBorder="1" applyAlignment="1">
      <alignment horizontal="center" vertical="center"/>
      <protection/>
    </xf>
    <xf numFmtId="176" fontId="14" fillId="0" borderId="28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center" vertical="center" shrinkToFit="1"/>
    </xf>
    <xf numFmtId="10" fontId="14" fillId="0" borderId="45" xfId="15" applyNumberFormat="1" applyFont="1" applyFill="1" applyBorder="1" applyAlignment="1">
      <alignment horizontal="center" vertical="center"/>
      <protection/>
    </xf>
    <xf numFmtId="179" fontId="14" fillId="0" borderId="28" xfId="15" applyNumberFormat="1" applyFont="1" applyFill="1" applyBorder="1" applyAlignment="1">
      <alignment horizontal="center" vertical="center"/>
      <protection/>
    </xf>
    <xf numFmtId="0" fontId="14" fillId="0" borderId="18" xfId="16" applyFont="1" applyFill="1" applyBorder="1" applyAlignment="1">
      <alignment horizontal="center" vertical="center"/>
      <protection/>
    </xf>
    <xf numFmtId="179" fontId="14" fillId="0" borderId="18" xfId="15" applyNumberFormat="1" applyFont="1" applyFill="1" applyBorder="1" applyAlignment="1">
      <alignment horizontal="center" vertical="center"/>
      <protection/>
    </xf>
    <xf numFmtId="177" fontId="22" fillId="0" borderId="0" xfId="16" applyNumberFormat="1" applyFont="1" applyAlignment="1">
      <alignment vertical="center"/>
      <protection/>
    </xf>
    <xf numFmtId="10" fontId="22" fillId="0" borderId="0" xfId="16" applyNumberFormat="1" applyFont="1" applyAlignment="1">
      <alignment vertical="center"/>
      <protection/>
    </xf>
    <xf numFmtId="177" fontId="22" fillId="0" borderId="0" xfId="16" applyNumberFormat="1" applyFont="1">
      <alignment/>
      <protection/>
    </xf>
    <xf numFmtId="10" fontId="22" fillId="0" borderId="0" xfId="16" applyNumberFormat="1" applyFont="1">
      <alignment/>
      <protection/>
    </xf>
    <xf numFmtId="0" fontId="165" fillId="0" borderId="0" xfId="16" applyFont="1" applyFill="1" applyAlignment="1">
      <alignment vertical="center"/>
      <protection/>
    </xf>
    <xf numFmtId="0" fontId="15" fillId="0" borderId="36" xfId="16" applyFont="1" applyFill="1" applyBorder="1" applyAlignment="1">
      <alignment horizontal="center" vertical="center" wrapText="1"/>
      <protection/>
    </xf>
    <xf numFmtId="0" fontId="15" fillId="0" borderId="37" xfId="16" applyFont="1" applyFill="1" applyBorder="1" applyAlignment="1">
      <alignment horizontal="center" vertical="center" wrapText="1"/>
      <protection/>
    </xf>
    <xf numFmtId="0" fontId="24" fillId="0" borderId="53" xfId="16" applyFont="1" applyFill="1" applyBorder="1" applyAlignment="1">
      <alignment horizontal="center" vertical="center" wrapText="1"/>
      <protection/>
    </xf>
    <xf numFmtId="9" fontId="16" fillId="0" borderId="37" xfId="16" applyNumberFormat="1" applyFont="1" applyFill="1" applyBorder="1" applyAlignment="1">
      <alignment horizontal="center" vertical="center" wrapText="1"/>
      <protection/>
    </xf>
    <xf numFmtId="0" fontId="24" fillId="0" borderId="13" xfId="16" applyFont="1" applyFill="1" applyBorder="1" applyAlignment="1">
      <alignment horizontal="center" vertical="center" wrapText="1"/>
      <protection/>
    </xf>
    <xf numFmtId="9" fontId="16" fillId="0" borderId="41" xfId="16" applyNumberFormat="1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" fillId="0" borderId="0" xfId="16" applyFont="1" applyFill="1" applyAlignment="1">
      <alignment horizontal="center" vertical="center" wrapText="1"/>
      <protection/>
    </xf>
    <xf numFmtId="0" fontId="24" fillId="0" borderId="22" xfId="0" applyFont="1" applyFill="1" applyBorder="1" applyAlignment="1">
      <alignment horizontal="center" vertical="center" wrapText="1"/>
    </xf>
    <xf numFmtId="178" fontId="14" fillId="0" borderId="25" xfId="15" applyNumberFormat="1" applyFont="1" applyFill="1" applyBorder="1" applyAlignment="1">
      <alignment horizontal="center" vertical="center"/>
      <protection/>
    </xf>
    <xf numFmtId="10" fontId="14" fillId="0" borderId="44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76" fontId="14" fillId="0" borderId="25" xfId="15" applyNumberFormat="1" applyFont="1" applyFill="1" applyBorder="1" applyAlignment="1">
      <alignment horizontal="center" vertical="center"/>
      <protection/>
    </xf>
    <xf numFmtId="176" fontId="14" fillId="0" borderId="24" xfId="15" applyNumberFormat="1" applyFont="1" applyFill="1" applyBorder="1" applyAlignment="1">
      <alignment horizontal="center" vertical="center"/>
      <protection/>
    </xf>
    <xf numFmtId="10" fontId="14" fillId="0" borderId="45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10" fontId="14" fillId="0" borderId="34" xfId="15" applyNumberFormat="1" applyFont="1" applyFill="1" applyBorder="1" applyAlignment="1">
      <alignment horizontal="center" vertical="center"/>
      <protection/>
    </xf>
    <xf numFmtId="0" fontId="25" fillId="0" borderId="55" xfId="0" applyFont="1" applyFill="1" applyBorder="1" applyAlignment="1">
      <alignment horizontal="center" vertical="center" wrapText="1"/>
    </xf>
    <xf numFmtId="176" fontId="14" fillId="0" borderId="18" xfId="15" applyNumberFormat="1" applyFont="1" applyFill="1" applyBorder="1" applyAlignment="1">
      <alignment horizontal="center" vertical="center"/>
      <protection/>
    </xf>
    <xf numFmtId="10" fontId="14" fillId="0" borderId="38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176" fontId="2" fillId="0" borderId="0" xfId="16" applyNumberFormat="1" applyFont="1" applyFill="1">
      <alignment/>
      <protection/>
    </xf>
    <xf numFmtId="0" fontId="8" fillId="0" borderId="24" xfId="16" applyFont="1" applyFill="1" applyBorder="1" applyAlignment="1">
      <alignment horizontal="left" wrapText="1"/>
      <protection/>
    </xf>
    <xf numFmtId="0" fontId="26" fillId="0" borderId="25" xfId="16" applyFont="1" applyFill="1" applyBorder="1" applyAlignment="1">
      <alignment horizontal="center" vertical="center" wrapText="1"/>
      <protection/>
    </xf>
    <xf numFmtId="0" fontId="7" fillId="0" borderId="21" xfId="16" applyFont="1" applyFill="1" applyBorder="1" applyAlignment="1">
      <alignment horizontal="center" vertical="center" wrapText="1"/>
      <protection/>
    </xf>
    <xf numFmtId="0" fontId="8" fillId="0" borderId="21" xfId="16" applyFont="1" applyFill="1" applyBorder="1" applyAlignment="1">
      <alignment horizontal="center" vertical="center" wrapText="1"/>
      <protection/>
    </xf>
    <xf numFmtId="0" fontId="7" fillId="0" borderId="25" xfId="16" applyFont="1" applyFill="1" applyBorder="1" applyAlignment="1">
      <alignment horizontal="center" vertical="center" wrapText="1"/>
      <protection/>
    </xf>
    <xf numFmtId="0" fontId="8" fillId="0" borderId="25" xfId="1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4" xfId="16" applyFont="1" applyFill="1" applyBorder="1" applyAlignment="1">
      <alignment horizontal="center" vertical="center" wrapText="1"/>
      <protection/>
    </xf>
    <xf numFmtId="0" fontId="8" fillId="0" borderId="24" xfId="16" applyFont="1" applyFill="1" applyBorder="1" applyAlignment="1">
      <alignment horizontal="center" vertical="center" wrapText="1"/>
      <protection/>
    </xf>
    <xf numFmtId="0" fontId="26" fillId="0" borderId="24" xfId="16" applyFont="1" applyFill="1" applyBorder="1" applyAlignment="1">
      <alignment horizontal="center" vertical="center" wrapText="1"/>
      <protection/>
    </xf>
    <xf numFmtId="0" fontId="166" fillId="0" borderId="25" xfId="16" applyFont="1" applyFill="1" applyBorder="1" applyAlignment="1">
      <alignment horizontal="center" vertical="center" wrapText="1"/>
      <protection/>
    </xf>
    <xf numFmtId="0" fontId="167" fillId="0" borderId="25" xfId="16" applyFont="1" applyFill="1" applyBorder="1" applyAlignment="1">
      <alignment horizontal="center" vertical="center" wrapText="1"/>
      <protection/>
    </xf>
    <xf numFmtId="0" fontId="8" fillId="0" borderId="25" xfId="16" applyFont="1" applyFill="1" applyBorder="1" applyAlignment="1">
      <alignment horizontal="left" wrapText="1"/>
      <protection/>
    </xf>
    <xf numFmtId="0" fontId="7" fillId="0" borderId="25" xfId="16" applyFont="1" applyFill="1" applyBorder="1" applyAlignment="1">
      <alignment horizontal="left" wrapText="1"/>
      <protection/>
    </xf>
    <xf numFmtId="176" fontId="8" fillId="0" borderId="0" xfId="16" applyNumberFormat="1" applyFont="1" applyFill="1" applyAlignment="1">
      <alignment wrapText="1"/>
      <protection/>
    </xf>
    <xf numFmtId="0" fontId="8" fillId="33" borderId="0" xfId="16" applyFont="1" applyFill="1" applyAlignment="1">
      <alignment horizontal="left" wrapText="1"/>
      <protection/>
    </xf>
    <xf numFmtId="0" fontId="29" fillId="31" borderId="0" xfId="16" applyFont="1" applyFill="1" applyAlignment="1">
      <alignment horizontal="center" vertical="center" wrapText="1"/>
      <protection/>
    </xf>
    <xf numFmtId="0" fontId="26" fillId="23" borderId="0" xfId="16" applyFont="1" applyFill="1" applyAlignment="1">
      <alignment horizontal="center" vertical="center" wrapText="1"/>
      <protection/>
    </xf>
    <xf numFmtId="0" fontId="7" fillId="33" borderId="0" xfId="16" applyFont="1" applyFill="1" applyAlignment="1">
      <alignment horizontal="center" vertical="center" wrapText="1"/>
      <protection/>
    </xf>
    <xf numFmtId="0" fontId="26" fillId="0" borderId="57" xfId="16" applyFont="1" applyFill="1" applyBorder="1" applyAlignment="1">
      <alignment horizontal="center" vertical="center" wrapText="1"/>
      <protection/>
    </xf>
    <xf numFmtId="0" fontId="29" fillId="22" borderId="25" xfId="16" applyFont="1" applyFill="1" applyBorder="1" applyAlignment="1">
      <alignment horizontal="center" vertical="center" wrapText="1"/>
      <protection/>
    </xf>
    <xf numFmtId="0" fontId="7" fillId="0" borderId="57" xfId="16" applyFont="1" applyFill="1" applyBorder="1" applyAlignment="1">
      <alignment horizontal="center" vertical="center" wrapText="1"/>
      <protection/>
    </xf>
    <xf numFmtId="0" fontId="8" fillId="0" borderId="25" xfId="16" applyFont="1" applyFill="1" applyBorder="1" applyAlignment="1">
      <alignment horizontal="center" vertical="top" wrapText="1"/>
      <protection/>
    </xf>
    <xf numFmtId="0" fontId="7" fillId="0" borderId="25" xfId="16" applyFont="1" applyFill="1" applyBorder="1" applyAlignment="1">
      <alignment horizontal="center" vertical="top" wrapText="1"/>
      <protection/>
    </xf>
    <xf numFmtId="0" fontId="7" fillId="0" borderId="21" xfId="16" applyFont="1" applyFill="1" applyBorder="1" applyAlignment="1">
      <alignment horizontal="center" vertical="top" wrapText="1"/>
      <protection/>
    </xf>
    <xf numFmtId="0" fontId="29" fillId="0" borderId="24" xfId="16" applyFont="1" applyFill="1" applyBorder="1" applyAlignment="1">
      <alignment horizontal="center" vertical="center" wrapText="1"/>
      <protection/>
    </xf>
    <xf numFmtId="0" fontId="168" fillId="0" borderId="21" xfId="16" applyFont="1" applyFill="1" applyBorder="1" applyAlignment="1">
      <alignment horizontal="center" vertical="center" wrapText="1"/>
      <protection/>
    </xf>
    <xf numFmtId="0" fontId="169" fillId="0" borderId="21" xfId="16" applyFont="1" applyFill="1" applyBorder="1" applyAlignment="1">
      <alignment horizontal="center" vertical="center" wrapText="1"/>
      <protection/>
    </xf>
    <xf numFmtId="0" fontId="166" fillId="0" borderId="21" xfId="16" applyFont="1" applyFill="1" applyBorder="1" applyAlignment="1">
      <alignment horizontal="center" vertical="center" wrapText="1"/>
      <protection/>
    </xf>
    <xf numFmtId="176" fontId="8" fillId="33" borderId="0" xfId="16" applyNumberFormat="1" applyFont="1" applyFill="1" applyAlignment="1">
      <alignment wrapText="1"/>
      <protection/>
    </xf>
    <xf numFmtId="0" fontId="7" fillId="0" borderId="0" xfId="16" applyFont="1" applyFill="1" applyAlignment="1">
      <alignment horizontal="center" vertical="center" wrapText="1"/>
      <protection/>
    </xf>
    <xf numFmtId="0" fontId="8" fillId="0" borderId="0" xfId="16" applyFont="1" applyFill="1" applyAlignment="1">
      <alignment horizontal="center" vertical="center" wrapText="1"/>
      <protection/>
    </xf>
    <xf numFmtId="0" fontId="26" fillId="26" borderId="58" xfId="16" applyFont="1" applyFill="1" applyBorder="1" applyAlignment="1">
      <alignment horizontal="center" vertical="center" wrapText="1"/>
      <protection/>
    </xf>
    <xf numFmtId="0" fontId="29" fillId="26" borderId="58" xfId="16" applyFont="1" applyFill="1" applyBorder="1" applyAlignment="1">
      <alignment horizontal="center" vertical="center" wrapText="1"/>
      <protection/>
    </xf>
    <xf numFmtId="0" fontId="26" fillId="26" borderId="59" xfId="16" applyFont="1" applyFill="1" applyBorder="1" applyAlignment="1">
      <alignment horizontal="center" vertical="center" wrapText="1"/>
      <protection/>
    </xf>
    <xf numFmtId="0" fontId="29" fillId="26" borderId="25" xfId="16" applyFont="1" applyFill="1" applyBorder="1" applyAlignment="1">
      <alignment horizontal="center" vertical="center" wrapText="1"/>
      <protection/>
    </xf>
    <xf numFmtId="0" fontId="26" fillId="26" borderId="43" xfId="16" applyFont="1" applyFill="1" applyBorder="1" applyAlignment="1">
      <alignment horizontal="center" vertical="center" wrapText="1"/>
      <protection/>
    </xf>
    <xf numFmtId="0" fontId="26" fillId="0" borderId="57" xfId="16" applyFont="1" applyFill="1" applyBorder="1" applyAlignment="1">
      <alignment horizontal="center" vertical="top" wrapText="1"/>
      <protection/>
    </xf>
    <xf numFmtId="0" fontId="26" fillId="0" borderId="21" xfId="16" applyFont="1" applyFill="1" applyBorder="1" applyAlignment="1">
      <alignment horizontal="center" vertical="top" wrapText="1"/>
      <protection/>
    </xf>
    <xf numFmtId="0" fontId="167" fillId="0" borderId="21" xfId="16" applyFont="1" applyFill="1" applyBorder="1" applyAlignment="1">
      <alignment horizontal="center" vertical="center" wrapText="1"/>
      <protection/>
    </xf>
    <xf numFmtId="0" fontId="7" fillId="26" borderId="25" xfId="16" applyFont="1" applyFill="1" applyBorder="1" applyAlignment="1">
      <alignment horizontal="center" vertical="center" wrapText="1"/>
      <protection/>
    </xf>
    <xf numFmtId="0" fontId="8" fillId="26" borderId="25" xfId="16" applyFont="1" applyFill="1" applyBorder="1" applyAlignment="1">
      <alignment horizontal="center" vertical="center" wrapText="1"/>
      <protection/>
    </xf>
    <xf numFmtId="0" fontId="26" fillId="0" borderId="0" xfId="16" applyFont="1" applyFill="1" applyAlignment="1">
      <alignment wrapText="1"/>
      <protection/>
    </xf>
    <xf numFmtId="0" fontId="24" fillId="0" borderId="0" xfId="16" applyFont="1" applyFill="1" applyAlignment="1">
      <alignment horizontal="left"/>
      <protection/>
    </xf>
    <xf numFmtId="0" fontId="9" fillId="0" borderId="0" xfId="16" applyFont="1" applyFill="1">
      <alignment/>
      <protection/>
    </xf>
    <xf numFmtId="0" fontId="9" fillId="0" borderId="0" xfId="16" applyFont="1" applyFill="1" applyAlignment="1">
      <alignment horizontal="center" vertical="center" wrapText="1"/>
      <protection/>
    </xf>
    <xf numFmtId="0" fontId="9" fillId="0" borderId="0" xfId="16" applyFont="1" applyFill="1" applyBorder="1" applyAlignment="1">
      <alignment horizontal="center" vertical="center" wrapText="1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32" fillId="0" borderId="0" xfId="16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wrapText="1"/>
    </xf>
    <xf numFmtId="0" fontId="34" fillId="0" borderId="0" xfId="16" applyFont="1" applyFill="1" applyAlignment="1">
      <alignment horizontal="center" vertical="center" wrapText="1"/>
      <protection/>
    </xf>
    <xf numFmtId="0" fontId="170" fillId="0" borderId="0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166" fillId="0" borderId="0" xfId="16" applyFont="1" applyFill="1" applyBorder="1" applyAlignment="1">
      <alignment horizontal="center" vertical="center" wrapText="1"/>
      <protection/>
    </xf>
    <xf numFmtId="0" fontId="171" fillId="0" borderId="0" xfId="16" applyFont="1" applyFill="1" applyBorder="1" applyAlignment="1">
      <alignment horizontal="center" vertical="center" wrapText="1"/>
      <protection/>
    </xf>
    <xf numFmtId="0" fontId="172" fillId="0" borderId="0" xfId="0" applyFont="1" applyFill="1" applyBorder="1" applyAlignment="1">
      <alignment vertical="center"/>
    </xf>
    <xf numFmtId="0" fontId="173" fillId="0" borderId="0" xfId="0" applyNumberFormat="1" applyFont="1" applyFill="1" applyBorder="1" applyAlignment="1">
      <alignment vertical="center" wrapText="1"/>
    </xf>
    <xf numFmtId="0" fontId="4" fillId="0" borderId="0" xfId="16" applyFont="1" applyFill="1" applyBorder="1" applyAlignment="1">
      <alignment horizontal="center" vertical="center" wrapText="1"/>
      <protection/>
    </xf>
    <xf numFmtId="0" fontId="39" fillId="0" borderId="0" xfId="16" applyFont="1" applyFill="1" applyBorder="1" applyAlignment="1">
      <alignment horizontal="center" vertical="center" wrapText="1"/>
      <protection/>
    </xf>
    <xf numFmtId="0" fontId="40" fillId="0" borderId="0" xfId="16" applyFont="1" applyFill="1" applyBorder="1" applyAlignment="1">
      <alignment horizontal="center" vertical="center" wrapText="1"/>
      <protection/>
    </xf>
    <xf numFmtId="0" fontId="32" fillId="0" borderId="0" xfId="16" applyFont="1" applyFill="1" applyAlignment="1">
      <alignment horizontal="center" vertical="center" wrapText="1"/>
      <protection/>
    </xf>
    <xf numFmtId="0" fontId="40" fillId="0" borderId="0" xfId="16" applyFont="1" applyFill="1" applyAlignment="1">
      <alignment horizontal="center" vertical="center" wrapText="1"/>
      <protection/>
    </xf>
    <xf numFmtId="0" fontId="40" fillId="0" borderId="0" xfId="16" applyFont="1" applyAlignment="1">
      <alignment horizontal="center" vertical="center" wrapText="1"/>
      <protection/>
    </xf>
    <xf numFmtId="0" fontId="20" fillId="0" borderId="0" xfId="16" applyFont="1" applyAlignment="1">
      <alignment horizontal="left"/>
      <protection/>
    </xf>
    <xf numFmtId="176" fontId="24" fillId="0" borderId="0" xfId="16" applyNumberFormat="1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160" fillId="0" borderId="0" xfId="16" applyFont="1" applyFill="1" applyBorder="1" applyAlignment="1">
      <alignment horizontal="center" vertical="center" wrapText="1"/>
      <protection/>
    </xf>
    <xf numFmtId="0" fontId="3" fillId="0" borderId="0" xfId="16" applyFont="1" applyFill="1">
      <alignment/>
      <protection/>
    </xf>
    <xf numFmtId="178" fontId="164" fillId="34" borderId="24" xfId="0" applyNumberFormat="1" applyFont="1" applyFill="1" applyBorder="1" applyAlignment="1">
      <alignment horizontal="center" vertical="center" wrapText="1"/>
    </xf>
    <xf numFmtId="0" fontId="2" fillId="0" borderId="0" xfId="16" applyFont="1" applyFill="1" applyAlignment="1">
      <alignment horizontal="left" vertical="center"/>
      <protection/>
    </xf>
    <xf numFmtId="0" fontId="161" fillId="0" borderId="0" xfId="16" applyFont="1" applyFill="1" applyAlignment="1">
      <alignment horizontal="left" vertical="center"/>
      <protection/>
    </xf>
    <xf numFmtId="10" fontId="3" fillId="0" borderId="0" xfId="16" applyNumberFormat="1" applyFont="1" applyFill="1" applyAlignment="1">
      <alignment horizontal="left" vertical="center"/>
      <protection/>
    </xf>
    <xf numFmtId="0" fontId="2" fillId="0" borderId="0" xfId="16" applyFont="1" applyFill="1" applyAlignment="1">
      <alignment vertical="center"/>
      <protection/>
    </xf>
    <xf numFmtId="177" fontId="22" fillId="0" borderId="0" xfId="16" applyNumberFormat="1" applyFont="1" applyFill="1" applyAlignment="1">
      <alignment vertical="center"/>
      <protection/>
    </xf>
    <xf numFmtId="10" fontId="22" fillId="0" borderId="0" xfId="16" applyNumberFormat="1" applyFont="1" applyFill="1" applyAlignment="1">
      <alignment vertical="center"/>
      <protection/>
    </xf>
    <xf numFmtId="177" fontId="22" fillId="0" borderId="0" xfId="16" applyNumberFormat="1" applyFont="1" applyFill="1">
      <alignment/>
      <protection/>
    </xf>
    <xf numFmtId="10" fontId="22" fillId="0" borderId="0" xfId="16" applyNumberFormat="1" applyFont="1" applyFill="1">
      <alignment/>
      <protection/>
    </xf>
    <xf numFmtId="0" fontId="29" fillId="0" borderId="0" xfId="16" applyFont="1" applyFill="1" applyAlignment="1">
      <alignment horizontal="center" vertical="center" wrapText="1"/>
      <protection/>
    </xf>
    <xf numFmtId="0" fontId="26" fillId="0" borderId="0" xfId="16" applyFont="1" applyFill="1" applyAlignment="1">
      <alignment horizontal="center" vertical="center" wrapText="1"/>
      <protection/>
    </xf>
    <xf numFmtId="0" fontId="29" fillId="0" borderId="25" xfId="16" applyFont="1" applyFill="1" applyBorder="1" applyAlignment="1">
      <alignment horizontal="center" vertical="center" wrapText="1"/>
      <protection/>
    </xf>
    <xf numFmtId="0" fontId="26" fillId="0" borderId="58" xfId="16" applyFont="1" applyFill="1" applyBorder="1" applyAlignment="1">
      <alignment horizontal="center" vertical="center" wrapText="1"/>
      <protection/>
    </xf>
    <xf numFmtId="0" fontId="29" fillId="0" borderId="58" xfId="16" applyFont="1" applyFill="1" applyBorder="1" applyAlignment="1">
      <alignment horizontal="center" vertical="center" wrapText="1"/>
      <protection/>
    </xf>
    <xf numFmtId="0" fontId="26" fillId="0" borderId="59" xfId="16" applyFont="1" applyFill="1" applyBorder="1" applyAlignment="1">
      <alignment horizontal="center" vertical="center" wrapText="1"/>
      <protection/>
    </xf>
    <xf numFmtId="0" fontId="26" fillId="0" borderId="43" xfId="16" applyFont="1" applyFill="1" applyBorder="1" applyAlignment="1">
      <alignment horizontal="center" vertical="center" wrapText="1"/>
      <protection/>
    </xf>
    <xf numFmtId="0" fontId="20" fillId="0" borderId="0" xfId="16" applyFont="1" applyFill="1" applyAlignment="1">
      <alignment horizontal="left"/>
      <protection/>
    </xf>
    <xf numFmtId="0" fontId="0" fillId="0" borderId="0" xfId="0" applyAlignment="1">
      <alignment vertical="center" wrapText="1"/>
    </xf>
    <xf numFmtId="0" fontId="174" fillId="0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76" fillId="0" borderId="0" xfId="0" applyFont="1" applyFill="1" applyBorder="1" applyAlignment="1">
      <alignment horizontal="center" vertical="center"/>
    </xf>
    <xf numFmtId="0" fontId="174" fillId="0" borderId="0" xfId="0" applyFont="1" applyFill="1" applyAlignment="1">
      <alignment vertical="center"/>
    </xf>
    <xf numFmtId="0" fontId="45" fillId="0" borderId="0" xfId="16" applyFont="1" applyFill="1" applyBorder="1" applyAlignment="1">
      <alignment horizontal="left" vertical="center"/>
      <protection/>
    </xf>
    <xf numFmtId="0" fontId="177" fillId="0" borderId="0" xfId="16" applyFont="1" applyFill="1" applyBorder="1" applyAlignment="1">
      <alignment horizontal="left" vertical="center"/>
      <protection/>
    </xf>
    <xf numFmtId="0" fontId="47" fillId="0" borderId="0" xfId="16" applyFont="1" applyFill="1" applyBorder="1" applyAlignment="1">
      <alignment horizontal="left"/>
      <protection/>
    </xf>
    <xf numFmtId="0" fontId="178" fillId="0" borderId="0" xfId="16" applyFont="1" applyFill="1" applyAlignment="1">
      <alignment horizontal="center" vertical="center" wrapText="1"/>
      <protection/>
    </xf>
    <xf numFmtId="0" fontId="179" fillId="0" borderId="0" xfId="16" applyFont="1" applyFill="1" applyAlignment="1">
      <alignment horizontal="center" vertical="center"/>
      <protection/>
    </xf>
    <xf numFmtId="177" fontId="16" fillId="0" borderId="25" xfId="17" applyNumberFormat="1" applyFont="1" applyFill="1" applyBorder="1" applyAlignment="1" applyProtection="1">
      <alignment horizontal="center" vertical="center" wrapText="1"/>
      <protection/>
    </xf>
    <xf numFmtId="0" fontId="180" fillId="0" borderId="24" xfId="16" applyFont="1" applyFill="1" applyBorder="1" applyAlignment="1">
      <alignment horizontal="center" vertical="center"/>
      <protection/>
    </xf>
    <xf numFmtId="177" fontId="16" fillId="0" borderId="29" xfId="17" applyNumberFormat="1" applyFont="1" applyFill="1" applyBorder="1" applyAlignment="1" applyProtection="1">
      <alignment horizontal="center" vertical="center" wrapText="1"/>
      <protection/>
    </xf>
    <xf numFmtId="177" fontId="16" fillId="0" borderId="60" xfId="17" applyNumberFormat="1" applyFont="1" applyFill="1" applyBorder="1" applyAlignment="1" applyProtection="1">
      <alignment horizontal="center" vertical="center" wrapText="1"/>
      <protection/>
    </xf>
    <xf numFmtId="177" fontId="50" fillId="0" borderId="61" xfId="17" applyNumberFormat="1" applyFont="1" applyFill="1" applyBorder="1" applyAlignment="1" applyProtection="1">
      <alignment horizontal="center" vertical="center" wrapText="1"/>
      <protection/>
    </xf>
    <xf numFmtId="177" fontId="16" fillId="0" borderId="46" xfId="17" applyNumberFormat="1" applyFont="1" applyFill="1" applyBorder="1" applyAlignment="1" applyProtection="1">
      <alignment vertical="center" wrapText="1"/>
      <protection/>
    </xf>
    <xf numFmtId="177" fontId="16" fillId="0" borderId="22" xfId="17" applyNumberFormat="1" applyFont="1" applyFill="1" applyBorder="1" applyAlignment="1" applyProtection="1">
      <alignment horizontal="center" vertical="center" wrapText="1"/>
      <protection/>
    </xf>
    <xf numFmtId="177" fontId="16" fillId="0" borderId="62" xfId="17" applyNumberFormat="1" applyFont="1" applyFill="1" applyBorder="1" applyAlignment="1" applyProtection="1">
      <alignment horizontal="center" vertical="center" wrapText="1"/>
      <protection/>
    </xf>
    <xf numFmtId="177" fontId="50" fillId="0" borderId="24" xfId="17" applyNumberFormat="1" applyFont="1" applyFill="1" applyBorder="1" applyAlignment="1" applyProtection="1">
      <alignment horizontal="center" vertical="center" wrapText="1"/>
      <protection/>
    </xf>
    <xf numFmtId="177" fontId="16" fillId="0" borderId="57" xfId="17" applyNumberFormat="1" applyFont="1" applyFill="1" applyBorder="1" applyAlignment="1" applyProtection="1">
      <alignment horizontal="center" vertical="center" wrapText="1"/>
      <protection/>
    </xf>
    <xf numFmtId="177" fontId="16" fillId="0" borderId="27" xfId="17" applyNumberFormat="1" applyFont="1" applyFill="1" applyBorder="1" applyAlignment="1" applyProtection="1">
      <alignment horizontal="center" vertical="center" wrapText="1"/>
      <protection/>
    </xf>
    <xf numFmtId="177" fontId="16" fillId="0" borderId="63" xfId="17" applyNumberFormat="1" applyFont="1" applyFill="1" applyBorder="1" applyAlignment="1" applyProtection="1">
      <alignment horizontal="center" vertical="center" wrapText="1"/>
      <protection/>
    </xf>
    <xf numFmtId="177" fontId="16" fillId="0" borderId="21" xfId="17" applyNumberFormat="1" applyFont="1" applyFill="1" applyBorder="1" applyAlignment="1" applyProtection="1">
      <alignment horizontal="center" vertical="center" wrapText="1"/>
      <protection/>
    </xf>
    <xf numFmtId="177" fontId="51" fillId="0" borderId="25" xfId="17" applyNumberFormat="1" applyFont="1" applyFill="1" applyBorder="1" applyAlignment="1" applyProtection="1">
      <alignment vertical="center" wrapText="1"/>
      <protection/>
    </xf>
    <xf numFmtId="177" fontId="52" fillId="0" borderId="21" xfId="17" applyNumberFormat="1" applyFont="1" applyFill="1" applyBorder="1" applyAlignment="1" applyProtection="1">
      <alignment horizontal="center" vertical="center" wrapText="1"/>
      <protection/>
    </xf>
    <xf numFmtId="177" fontId="163" fillId="0" borderId="25" xfId="0" applyNumberFormat="1" applyFont="1" applyFill="1" applyBorder="1" applyAlignment="1">
      <alignment horizontal="center" vertical="center"/>
    </xf>
    <xf numFmtId="0" fontId="181" fillId="0" borderId="19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0" fontId="181" fillId="0" borderId="25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181" fillId="0" borderId="22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 wrapText="1"/>
    </xf>
    <xf numFmtId="0" fontId="51" fillId="0" borderId="64" xfId="0" applyFont="1" applyFill="1" applyBorder="1" applyAlignment="1">
      <alignment horizontal="center" vertical="center"/>
    </xf>
    <xf numFmtId="0" fontId="182" fillId="0" borderId="29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181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182" fillId="0" borderId="30" xfId="0" applyFont="1" applyFill="1" applyBorder="1" applyAlignment="1">
      <alignment horizontal="center" vertical="center"/>
    </xf>
    <xf numFmtId="0" fontId="18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18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183" fillId="0" borderId="0" xfId="0" applyFont="1" applyFill="1" applyAlignment="1">
      <alignment horizontal="left" vertical="center" wrapText="1"/>
    </xf>
    <xf numFmtId="0" fontId="183" fillId="0" borderId="0" xfId="0" applyFont="1" applyFill="1" applyAlignment="1">
      <alignment horizontal="left" vertical="center"/>
    </xf>
    <xf numFmtId="0" fontId="174" fillId="0" borderId="0" xfId="0" applyFont="1" applyFill="1" applyBorder="1" applyAlignment="1">
      <alignment horizontal="left" vertical="center"/>
    </xf>
    <xf numFmtId="0" fontId="175" fillId="0" borderId="0" xfId="0" applyFont="1" applyFill="1" applyBorder="1" applyAlignment="1">
      <alignment horizontal="left" vertical="center"/>
    </xf>
    <xf numFmtId="0" fontId="175" fillId="0" borderId="0" xfId="0" applyFont="1" applyFill="1" applyBorder="1" applyAlignment="1">
      <alignment horizontal="left" vertical="center" wrapText="1"/>
    </xf>
    <xf numFmtId="9" fontId="47" fillId="0" borderId="0" xfId="16" applyNumberFormat="1" applyFont="1" applyFill="1" applyBorder="1" applyAlignment="1">
      <alignment/>
      <protection/>
    </xf>
    <xf numFmtId="0" fontId="180" fillId="0" borderId="25" xfId="16" applyFont="1" applyFill="1" applyBorder="1" applyAlignment="1">
      <alignment horizontal="center" vertical="center"/>
      <protection/>
    </xf>
    <xf numFmtId="0" fontId="179" fillId="0" borderId="25" xfId="16" applyFont="1" applyFill="1" applyBorder="1" applyAlignment="1">
      <alignment vertical="center"/>
      <protection/>
    </xf>
    <xf numFmtId="177" fontId="50" fillId="0" borderId="58" xfId="17" applyNumberFormat="1" applyFont="1" applyFill="1" applyBorder="1" applyAlignment="1" applyProtection="1">
      <alignment horizontal="center" vertical="center" wrapText="1"/>
      <protection/>
    </xf>
    <xf numFmtId="177" fontId="50" fillId="0" borderId="46" xfId="17" applyNumberFormat="1" applyFont="1" applyFill="1" applyBorder="1" applyAlignment="1" applyProtection="1">
      <alignment vertical="center" wrapText="1"/>
      <protection/>
    </xf>
    <xf numFmtId="177" fontId="50" fillId="0" borderId="26" xfId="17" applyNumberFormat="1" applyFont="1" applyFill="1" applyBorder="1" applyAlignment="1" applyProtection="1">
      <alignment horizontal="center" vertical="center" wrapText="1"/>
      <protection/>
    </xf>
    <xf numFmtId="177" fontId="50" fillId="0" borderId="0" xfId="17" applyNumberFormat="1" applyFont="1" applyFill="1" applyBorder="1" applyAlignment="1" applyProtection="1">
      <alignment horizontal="center" vertical="center" wrapText="1"/>
      <protection/>
    </xf>
    <xf numFmtId="177" fontId="16" fillId="0" borderId="26" xfId="17" applyNumberFormat="1" applyFont="1" applyFill="1" applyBorder="1" applyAlignment="1" applyProtection="1">
      <alignment horizontal="center" vertical="center" wrapText="1"/>
      <protection/>
    </xf>
    <xf numFmtId="177" fontId="50" fillId="0" borderId="57" xfId="17" applyNumberFormat="1" applyFont="1" applyFill="1" applyBorder="1" applyAlignment="1" applyProtection="1">
      <alignment horizontal="center" vertical="center" wrapText="1"/>
      <protection/>
    </xf>
    <xf numFmtId="177" fontId="50" fillId="0" borderId="65" xfId="17" applyNumberFormat="1" applyFont="1" applyFill="1" applyBorder="1" applyAlignment="1" applyProtection="1">
      <alignment horizontal="center" vertical="center" wrapText="1"/>
      <protection/>
    </xf>
    <xf numFmtId="177" fontId="50" fillId="0" borderId="21" xfId="17" applyNumberFormat="1" applyFont="1" applyFill="1" applyBorder="1" applyAlignment="1" applyProtection="1">
      <alignment horizontal="center" vertical="center" wrapText="1"/>
      <protection/>
    </xf>
    <xf numFmtId="177" fontId="52" fillId="0" borderId="25" xfId="17" applyNumberFormat="1" applyFont="1" applyFill="1" applyBorder="1" applyAlignment="1" applyProtection="1">
      <alignment horizontal="center" vertical="center" wrapText="1"/>
      <protection/>
    </xf>
    <xf numFmtId="10" fontId="163" fillId="0" borderId="25" xfId="0" applyNumberFormat="1" applyFont="1" applyFill="1" applyBorder="1" applyAlignment="1">
      <alignment horizontal="center" vertical="center"/>
    </xf>
    <xf numFmtId="10" fontId="16" fillId="0" borderId="25" xfId="0" applyNumberFormat="1" applyFont="1" applyFill="1" applyBorder="1" applyAlignment="1">
      <alignment horizontal="center" vertical="center"/>
    </xf>
    <xf numFmtId="10" fontId="51" fillId="0" borderId="25" xfId="0" applyNumberFormat="1" applyFont="1" applyFill="1" applyBorder="1" applyAlignment="1">
      <alignment horizontal="center" vertical="center"/>
    </xf>
    <xf numFmtId="177" fontId="51" fillId="0" borderId="25" xfId="0" applyNumberFormat="1" applyFont="1" applyFill="1" applyBorder="1" applyAlignment="1">
      <alignment horizontal="center" vertical="center"/>
    </xf>
    <xf numFmtId="10" fontId="51" fillId="0" borderId="64" xfId="0" applyNumberFormat="1" applyFont="1" applyFill="1" applyBorder="1" applyAlignment="1">
      <alignment horizontal="center" vertical="center"/>
    </xf>
    <xf numFmtId="177" fontId="51" fillId="0" borderId="64" xfId="0" applyNumberFormat="1" applyFont="1" applyFill="1" applyBorder="1" applyAlignment="1">
      <alignment horizontal="center" vertical="center"/>
    </xf>
    <xf numFmtId="10" fontId="51" fillId="0" borderId="21" xfId="0" applyNumberFormat="1" applyFont="1" applyFill="1" applyBorder="1" applyAlignment="1">
      <alignment horizontal="center" vertical="center"/>
    </xf>
    <xf numFmtId="10" fontId="51" fillId="0" borderId="0" xfId="0" applyNumberFormat="1" applyFont="1" applyFill="1" applyAlignment="1">
      <alignment horizontal="center" vertical="center"/>
    </xf>
    <xf numFmtId="0" fontId="174" fillId="0" borderId="25" xfId="0" applyFont="1" applyFill="1" applyBorder="1" applyAlignment="1">
      <alignment horizontal="center" vertical="center" wrapText="1"/>
    </xf>
    <xf numFmtId="0" fontId="174" fillId="0" borderId="25" xfId="0" applyFont="1" applyFill="1" applyBorder="1" applyAlignment="1">
      <alignment horizontal="center" vertical="center"/>
    </xf>
    <xf numFmtId="0" fontId="184" fillId="0" borderId="25" xfId="0" applyFont="1" applyFill="1" applyBorder="1" applyAlignment="1">
      <alignment horizontal="center" vertical="center" wrapText="1"/>
    </xf>
    <xf numFmtId="0" fontId="182" fillId="0" borderId="25" xfId="0" applyFont="1" applyFill="1" applyBorder="1" applyAlignment="1">
      <alignment horizontal="center" vertical="center"/>
    </xf>
    <xf numFmtId="0" fontId="185" fillId="0" borderId="25" xfId="0" applyFont="1" applyFill="1" applyBorder="1" applyAlignment="1">
      <alignment horizontal="center" vertical="center"/>
    </xf>
    <xf numFmtId="0" fontId="184" fillId="0" borderId="25" xfId="0" applyFont="1" applyFill="1" applyBorder="1" applyAlignment="1">
      <alignment horizontal="center" vertical="center"/>
    </xf>
    <xf numFmtId="0" fontId="175" fillId="0" borderId="25" xfId="0" applyFont="1" applyFill="1" applyBorder="1" applyAlignment="1">
      <alignment horizontal="center" vertical="center"/>
    </xf>
    <xf numFmtId="0" fontId="174" fillId="0" borderId="25" xfId="0" applyFont="1" applyFill="1" applyBorder="1" applyAlignment="1">
      <alignment vertical="center"/>
    </xf>
    <xf numFmtId="0" fontId="176" fillId="0" borderId="25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vertical="center"/>
    </xf>
    <xf numFmtId="0" fontId="59" fillId="0" borderId="64" xfId="0" applyFont="1" applyFill="1" applyBorder="1" applyAlignment="1">
      <alignment horizontal="center" vertical="center"/>
    </xf>
    <xf numFmtId="0" fontId="175" fillId="0" borderId="21" xfId="0" applyFont="1" applyFill="1" applyBorder="1" applyAlignment="1">
      <alignment horizontal="center" vertical="center"/>
    </xf>
    <xf numFmtId="0" fontId="176" fillId="0" borderId="21" xfId="0" applyFont="1" applyFill="1" applyBorder="1" applyAlignment="1">
      <alignment horizontal="center" vertical="center"/>
    </xf>
    <xf numFmtId="0" fontId="175" fillId="0" borderId="0" xfId="0" applyFont="1" applyFill="1" applyAlignment="1">
      <alignment horizontal="center" vertical="center"/>
    </xf>
    <xf numFmtId="0" fontId="176" fillId="0" borderId="0" xfId="0" applyFont="1" applyFill="1" applyAlignment="1">
      <alignment horizontal="center" vertical="center"/>
    </xf>
    <xf numFmtId="0" fontId="175" fillId="0" borderId="25" xfId="0" applyFont="1" applyFill="1" applyBorder="1" applyAlignment="1">
      <alignment horizontal="left" vertical="center"/>
    </xf>
    <xf numFmtId="0" fontId="186" fillId="0" borderId="2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left" vertical="center"/>
    </xf>
    <xf numFmtId="177" fontId="16" fillId="0" borderId="61" xfId="17" applyNumberFormat="1" applyFont="1" applyFill="1" applyBorder="1" applyAlignment="1" applyProtection="1">
      <alignment horizontal="center" vertical="center" wrapText="1"/>
      <protection/>
    </xf>
    <xf numFmtId="177" fontId="16" fillId="0" borderId="46" xfId="17" applyNumberFormat="1" applyFont="1" applyFill="1" applyBorder="1" applyAlignment="1" applyProtection="1">
      <alignment horizontal="center" vertical="center" wrapText="1"/>
      <protection/>
    </xf>
    <xf numFmtId="177" fontId="50" fillId="0" borderId="25" xfId="17" applyNumberFormat="1" applyFont="1" applyFill="1" applyBorder="1" applyAlignment="1" applyProtection="1">
      <alignment horizontal="center" vertical="center" wrapText="1"/>
      <protection/>
    </xf>
    <xf numFmtId="177" fontId="16" fillId="0" borderId="43" xfId="17" applyNumberFormat="1" applyFont="1" applyFill="1" applyBorder="1" applyAlignment="1" applyProtection="1">
      <alignment horizontal="center" vertical="center" wrapText="1"/>
      <protection/>
    </xf>
    <xf numFmtId="177" fontId="181" fillId="0" borderId="25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vertical="center"/>
    </xf>
    <xf numFmtId="0" fontId="181" fillId="0" borderId="25" xfId="0" applyFont="1" applyFill="1" applyBorder="1" applyAlignment="1">
      <alignment vertical="center"/>
    </xf>
    <xf numFmtId="177" fontId="181" fillId="0" borderId="64" xfId="0" applyNumberFormat="1" applyFont="1" applyFill="1" applyBorder="1" applyAlignment="1">
      <alignment horizontal="center" vertical="center"/>
    </xf>
    <xf numFmtId="177" fontId="181" fillId="0" borderId="21" xfId="0" applyNumberFormat="1" applyFont="1" applyFill="1" applyBorder="1" applyAlignment="1">
      <alignment horizontal="center" vertical="center"/>
    </xf>
    <xf numFmtId="0" fontId="176" fillId="0" borderId="25" xfId="0" applyFont="1" applyFill="1" applyBorder="1" applyAlignment="1">
      <alignment horizontal="left" vertical="center" wrapText="1"/>
    </xf>
    <xf numFmtId="0" fontId="175" fillId="0" borderId="25" xfId="0" applyFont="1" applyFill="1" applyBorder="1" applyAlignment="1">
      <alignment horizontal="center" vertical="center" wrapText="1"/>
    </xf>
    <xf numFmtId="0" fontId="175" fillId="0" borderId="0" xfId="61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8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NumberFormat="1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9" fillId="0" borderId="61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/>
    </xf>
    <xf numFmtId="0" fontId="14" fillId="0" borderId="63" xfId="0" applyNumberFormat="1" applyFont="1" applyFill="1" applyBorder="1" applyAlignment="1">
      <alignment horizontal="center" vertical="center" wrapText="1"/>
    </xf>
    <xf numFmtId="0" fontId="14" fillId="0" borderId="65" xfId="0" applyNumberFormat="1" applyFont="1" applyFill="1" applyBorder="1" applyAlignment="1">
      <alignment horizontal="center" vertical="center" wrapText="1"/>
    </xf>
    <xf numFmtId="0" fontId="14" fillId="0" borderId="4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49" fontId="51" fillId="0" borderId="25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 wrapText="1"/>
    </xf>
    <xf numFmtId="177" fontId="15" fillId="0" borderId="25" xfId="0" applyNumberFormat="1" applyFont="1" applyFill="1" applyBorder="1" applyAlignment="1">
      <alignment horizontal="center" vertical="center" wrapText="1"/>
    </xf>
    <xf numFmtId="177" fontId="15" fillId="0" borderId="25" xfId="0" applyNumberFormat="1" applyFont="1" applyFill="1" applyBorder="1" applyAlignment="1">
      <alignment horizontal="center" vertical="center"/>
    </xf>
    <xf numFmtId="10" fontId="15" fillId="0" borderId="25" xfId="61" applyNumberFormat="1" applyFont="1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center" vertical="center" wrapText="1"/>
    </xf>
    <xf numFmtId="177" fontId="66" fillId="0" borderId="25" xfId="0" applyNumberFormat="1" applyFont="1" applyFill="1" applyBorder="1" applyAlignment="1">
      <alignment horizontal="center" vertical="center" wrapText="1"/>
    </xf>
    <xf numFmtId="10" fontId="66" fillId="0" borderId="25" xfId="61" applyNumberFormat="1" applyFont="1" applyFill="1" applyBorder="1" applyAlignment="1">
      <alignment horizontal="center" vertical="center"/>
    </xf>
    <xf numFmtId="0" fontId="66" fillId="0" borderId="25" xfId="0" applyNumberFormat="1" applyFont="1" applyFill="1" applyBorder="1" applyAlignment="1" applyProtection="1">
      <alignment horizontal="center" vertical="center" wrapText="1"/>
      <protection/>
    </xf>
    <xf numFmtId="0" fontId="67" fillId="0" borderId="25" xfId="0" applyNumberFormat="1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/>
    </xf>
    <xf numFmtId="0" fontId="19" fillId="0" borderId="58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9" fillId="0" borderId="63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10" fontId="15" fillId="0" borderId="25" xfId="0" applyNumberFormat="1" applyFont="1" applyFill="1" applyBorder="1" applyAlignment="1">
      <alignment horizontal="center" vertical="center" wrapText="1"/>
    </xf>
    <xf numFmtId="10" fontId="66" fillId="0" borderId="25" xfId="0" applyNumberFormat="1" applyFont="1" applyFill="1" applyBorder="1" applyAlignment="1">
      <alignment horizontal="center" vertical="center" wrapText="1"/>
    </xf>
    <xf numFmtId="0" fontId="188" fillId="0" borderId="25" xfId="0" applyFont="1" applyFill="1" applyBorder="1" applyAlignment="1">
      <alignment horizontal="center" vertical="center" wrapText="1"/>
    </xf>
    <xf numFmtId="177" fontId="188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10" fontId="15" fillId="0" borderId="25" xfId="0" applyNumberFormat="1" applyFont="1" applyFill="1" applyBorder="1" applyAlignment="1">
      <alignment horizontal="center" vertical="center"/>
    </xf>
    <xf numFmtId="180" fontId="15" fillId="0" borderId="25" xfId="0" applyNumberFormat="1" applyFont="1" applyFill="1" applyBorder="1" applyAlignment="1">
      <alignment horizontal="center" vertical="center"/>
    </xf>
    <xf numFmtId="180" fontId="52" fillId="0" borderId="25" xfId="61" applyNumberFormat="1" applyFont="1" applyFill="1" applyBorder="1" applyAlignment="1">
      <alignment/>
    </xf>
    <xf numFmtId="10" fontId="66" fillId="0" borderId="25" xfId="0" applyNumberFormat="1" applyFont="1" applyFill="1" applyBorder="1" applyAlignment="1">
      <alignment horizontal="center" vertical="center"/>
    </xf>
    <xf numFmtId="180" fontId="66" fillId="0" borderId="25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/>
    </xf>
    <xf numFmtId="0" fontId="66" fillId="0" borderId="25" xfId="0" applyNumberFormat="1" applyFont="1" applyFill="1" applyBorder="1" applyAlignment="1" applyProtection="1">
      <alignment horizontal="center" vertical="center"/>
      <protection/>
    </xf>
    <xf numFmtId="180" fontId="66" fillId="0" borderId="25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/>
    </xf>
    <xf numFmtId="10" fontId="188" fillId="0" borderId="25" xfId="61" applyNumberFormat="1" applyFont="1" applyFill="1" applyBorder="1" applyAlignment="1">
      <alignment horizontal="center" vertical="center" wrapText="1"/>
    </xf>
    <xf numFmtId="0" fontId="188" fillId="0" borderId="25" xfId="0" applyNumberFormat="1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>
      <alignment horizontal="center" vertical="center"/>
    </xf>
    <xf numFmtId="0" fontId="66" fillId="0" borderId="24" xfId="0" applyNumberFormat="1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/>
    </xf>
    <xf numFmtId="0" fontId="52" fillId="0" borderId="0" xfId="61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0" fontId="51" fillId="0" borderId="0" xfId="61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NumberFormat="1" applyFont="1" applyFill="1" applyAlignment="1">
      <alignment horizontal="center" vertical="center" wrapText="1"/>
    </xf>
    <xf numFmtId="0" fontId="71" fillId="0" borderId="25" xfId="0" applyNumberFormat="1" applyFont="1" applyFill="1" applyBorder="1" applyAlignment="1">
      <alignment horizontal="center" vertical="center" wrapText="1"/>
    </xf>
    <xf numFmtId="0" fontId="71" fillId="0" borderId="61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8" fillId="0" borderId="6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1" fillId="0" borderId="60" xfId="0" applyNumberFormat="1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/>
    </xf>
    <xf numFmtId="0" fontId="71" fillId="0" borderId="63" xfId="0" applyNumberFormat="1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/>
    </xf>
    <xf numFmtId="49" fontId="66" fillId="0" borderId="25" xfId="0" applyNumberFormat="1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 wrapText="1"/>
    </xf>
    <xf numFmtId="177" fontId="8" fillId="0" borderId="25" xfId="0" applyNumberFormat="1" applyFont="1" applyFill="1" applyBorder="1" applyAlignment="1">
      <alignment horizontal="center" vertical="center" wrapText="1"/>
    </xf>
    <xf numFmtId="177" fontId="8" fillId="0" borderId="25" xfId="0" applyNumberFormat="1" applyFont="1" applyFill="1" applyBorder="1" applyAlignment="1">
      <alignment horizontal="center" vertical="center"/>
    </xf>
    <xf numFmtId="0" fontId="74" fillId="0" borderId="25" xfId="0" applyNumberFormat="1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0" fontId="74" fillId="0" borderId="0" xfId="0" applyFont="1" applyFill="1" applyAlignment="1">
      <alignment horizontal="left" vertical="center"/>
    </xf>
    <xf numFmtId="0" fontId="8" fillId="0" borderId="65" xfId="0" applyNumberFormat="1" applyFont="1" applyFill="1" applyBorder="1" applyAlignment="1">
      <alignment horizontal="center" vertical="center" wrapText="1"/>
    </xf>
    <xf numFmtId="0" fontId="71" fillId="0" borderId="2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0" fontId="8" fillId="0" borderId="25" xfId="61" applyNumberFormat="1" applyFont="1" applyFill="1" applyBorder="1" applyAlignment="1">
      <alignment horizontal="center" vertical="center"/>
    </xf>
    <xf numFmtId="10" fontId="7" fillId="0" borderId="25" xfId="61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0" fontId="71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10" fontId="8" fillId="0" borderId="25" xfId="0" applyNumberFormat="1" applyFont="1" applyFill="1" applyBorder="1" applyAlignment="1">
      <alignment horizontal="center" vertical="center" wrapText="1"/>
    </xf>
    <xf numFmtId="180" fontId="7" fillId="0" borderId="25" xfId="0" applyNumberFormat="1" applyFont="1" applyFill="1" applyBorder="1" applyAlignment="1">
      <alignment horizontal="center" vertical="center"/>
    </xf>
    <xf numFmtId="10" fontId="7" fillId="0" borderId="25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wrapText="1"/>
    </xf>
    <xf numFmtId="10" fontId="8" fillId="0" borderId="25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10" fontId="7" fillId="0" borderId="25" xfId="0" applyNumberFormat="1" applyFont="1" applyFill="1" applyBorder="1" applyAlignment="1">
      <alignment horizontal="center" vertical="center"/>
    </xf>
    <xf numFmtId="10" fontId="7" fillId="0" borderId="25" xfId="61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180" fontId="189" fillId="0" borderId="25" xfId="0" applyNumberFormat="1" applyFont="1" applyFill="1" applyBorder="1" applyAlignment="1">
      <alignment horizontal="center" vertical="center"/>
    </xf>
    <xf numFmtId="180" fontId="62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166" fillId="0" borderId="25" xfId="0" applyNumberFormat="1" applyFont="1" applyFill="1" applyBorder="1" applyAlignment="1" applyProtection="1">
      <alignment horizontal="center" vertical="center" wrapText="1"/>
      <protection/>
    </xf>
    <xf numFmtId="0" fontId="189" fillId="0" borderId="25" xfId="0" applyNumberFormat="1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horizontal="center" vertical="center" wrapText="1"/>
    </xf>
    <xf numFmtId="0" fontId="190" fillId="0" borderId="25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>
      <alignment/>
    </xf>
    <xf numFmtId="0" fontId="19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0" fontId="0" fillId="0" borderId="0" xfId="61" applyNumberFormat="1" applyFill="1" applyAlignment="1">
      <alignment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Fill="1" applyBorder="1" applyAlignment="1">
      <alignment/>
    </xf>
    <xf numFmtId="0" fontId="83" fillId="0" borderId="0" xfId="16" applyFont="1" applyFill="1" applyAlignment="1">
      <alignment horizontal="center" vertical="center"/>
      <protection/>
    </xf>
    <xf numFmtId="0" fontId="84" fillId="0" borderId="0" xfId="0" applyFont="1" applyFill="1" applyAlignment="1">
      <alignment horizontal="center" vertical="center"/>
    </xf>
    <xf numFmtId="0" fontId="19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19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10" fontId="51" fillId="0" borderId="24" xfId="0" applyNumberFormat="1" applyFont="1" applyFill="1" applyBorder="1" applyAlignment="1">
      <alignment horizontal="center" vertical="center"/>
    </xf>
    <xf numFmtId="10" fontId="51" fillId="0" borderId="66" xfId="0" applyNumberFormat="1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87" fillId="0" borderId="2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16" fillId="0" borderId="21" xfId="0" applyFont="1" applyFill="1" applyBorder="1" applyAlignment="1">
      <alignment vertical="center"/>
    </xf>
    <xf numFmtId="10" fontId="192" fillId="0" borderId="0" xfId="61" applyNumberFormat="1" applyFont="1" applyFill="1" applyBorder="1" applyAlignment="1">
      <alignment vertical="center"/>
    </xf>
    <xf numFmtId="10" fontId="58" fillId="0" borderId="0" xfId="61" applyNumberFormat="1" applyFont="1" applyFill="1" applyBorder="1" applyAlignment="1">
      <alignment vertical="center"/>
    </xf>
    <xf numFmtId="10" fontId="51" fillId="0" borderId="0" xfId="61" applyNumberFormat="1" applyFont="1" applyFill="1" applyBorder="1" applyAlignment="1">
      <alignment vertical="center"/>
    </xf>
    <xf numFmtId="10" fontId="0" fillId="0" borderId="0" xfId="61" applyNumberFormat="1" applyFill="1" applyBorder="1" applyAlignment="1">
      <alignment vertical="center"/>
    </xf>
    <xf numFmtId="10" fontId="51" fillId="0" borderId="0" xfId="0" applyNumberFormat="1" applyFont="1" applyFill="1" applyBorder="1" applyAlignment="1">
      <alignment vertical="center"/>
    </xf>
    <xf numFmtId="10" fontId="174" fillId="0" borderId="0" xfId="61" applyNumberFormat="1" applyFont="1" applyFill="1" applyBorder="1" applyAlignment="1">
      <alignment horizontal="center" vertical="center"/>
    </xf>
    <xf numFmtId="0" fontId="19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9" fillId="0" borderId="0" xfId="16" applyFont="1" applyFill="1" applyAlignment="1">
      <alignment horizontal="center" vertical="center" wrapText="1"/>
      <protection/>
    </xf>
    <xf numFmtId="0" fontId="84" fillId="0" borderId="0" xfId="16" applyFont="1" applyFill="1" applyAlignment="1">
      <alignment horizontal="center" vertical="center"/>
      <protection/>
    </xf>
    <xf numFmtId="177" fontId="50" fillId="0" borderId="29" xfId="17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177" fontId="54" fillId="0" borderId="25" xfId="17" applyNumberFormat="1" applyFont="1" applyFill="1" applyBorder="1" applyAlignment="1" applyProtection="1">
      <alignment horizontal="center" vertical="center" wrapText="1"/>
      <protection/>
    </xf>
    <xf numFmtId="177" fontId="16" fillId="0" borderId="25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177" fontId="50" fillId="0" borderId="0" xfId="17" applyNumberFormat="1" applyFont="1" applyFill="1" applyBorder="1" applyAlignment="1" applyProtection="1">
      <alignment vertical="center" wrapText="1"/>
      <protection/>
    </xf>
    <xf numFmtId="177" fontId="50" fillId="0" borderId="62" xfId="17" applyNumberFormat="1" applyFont="1" applyFill="1" applyBorder="1" applyAlignment="1" applyProtection="1">
      <alignment horizontal="center" vertical="center" wrapText="1"/>
      <protection/>
    </xf>
    <xf numFmtId="177" fontId="50" fillId="0" borderId="65" xfId="17" applyNumberFormat="1" applyFont="1" applyFill="1" applyBorder="1" applyAlignment="1" applyProtection="1">
      <alignment vertical="center" wrapText="1"/>
      <protection/>
    </xf>
    <xf numFmtId="177" fontId="50" fillId="0" borderId="63" xfId="17" applyNumberFormat="1" applyFont="1" applyFill="1" applyBorder="1" applyAlignment="1" applyProtection="1">
      <alignment horizontal="center" vertical="center" wrapText="1"/>
      <protection/>
    </xf>
    <xf numFmtId="0" fontId="84" fillId="0" borderId="25" xfId="16" applyFont="1" applyFill="1" applyBorder="1" applyAlignment="1">
      <alignment vertical="center"/>
      <protection/>
    </xf>
    <xf numFmtId="0" fontId="58" fillId="0" borderId="2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87" fillId="0" borderId="2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center" vertical="center" wrapText="1"/>
    </xf>
    <xf numFmtId="177" fontId="51" fillId="0" borderId="21" xfId="0" applyNumberFormat="1" applyFont="1" applyFill="1" applyBorder="1" applyAlignment="1">
      <alignment horizontal="center" vertical="center"/>
    </xf>
    <xf numFmtId="10" fontId="175" fillId="0" borderId="0" xfId="6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95" fillId="0" borderId="0" xfId="0" applyFont="1" applyFill="1" applyBorder="1" applyAlignment="1">
      <alignment horizontal="center" vertical="center"/>
    </xf>
    <xf numFmtId="0" fontId="196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81" fillId="0" borderId="0" xfId="0" applyFont="1" applyFill="1" applyBorder="1" applyAlignment="1">
      <alignment horizontal="center" vertical="center"/>
    </xf>
    <xf numFmtId="0" fontId="161" fillId="0" borderId="0" xfId="16" applyFont="1" applyFill="1">
      <alignment/>
      <protection/>
    </xf>
    <xf numFmtId="0" fontId="161" fillId="0" borderId="0" xfId="16" applyFont="1" applyFill="1" applyAlignment="1">
      <alignment horizontal="center" vertical="center" wrapText="1"/>
      <protection/>
    </xf>
    <xf numFmtId="0" fontId="197" fillId="0" borderId="0" xfId="16" applyFont="1" applyFill="1" applyAlignment="1">
      <alignment horizontal="center" vertical="center" wrapText="1"/>
      <protection/>
    </xf>
    <xf numFmtId="0" fontId="197" fillId="0" borderId="0" xfId="0" applyFont="1" applyFill="1" applyAlignment="1">
      <alignment horizontal="center" vertical="center"/>
    </xf>
    <xf numFmtId="176" fontId="198" fillId="0" borderId="0" xfId="16" applyNumberFormat="1" applyFont="1" applyFill="1">
      <alignment/>
      <protection/>
    </xf>
    <xf numFmtId="0" fontId="198" fillId="0" borderId="0" xfId="16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0" fontId="199" fillId="0" borderId="0" xfId="16" applyFont="1" applyFill="1" applyAlignment="1">
      <alignment horizontal="left"/>
      <protection/>
    </xf>
    <xf numFmtId="0" fontId="200" fillId="0" borderId="0" xfId="16" applyFont="1" applyFill="1" applyAlignment="1">
      <alignment horizontal="center" wrapText="1"/>
      <protection/>
    </xf>
    <xf numFmtId="0" fontId="201" fillId="0" borderId="0" xfId="16" applyFont="1" applyFill="1" applyAlignment="1">
      <alignment horizontal="center" vertical="center" wrapText="1"/>
      <protection/>
    </xf>
    <xf numFmtId="0" fontId="97" fillId="0" borderId="24" xfId="0" applyFont="1" applyFill="1" applyBorder="1" applyAlignment="1">
      <alignment horizontal="center" vertical="center" wrapText="1"/>
    </xf>
    <xf numFmtId="0" fontId="97" fillId="35" borderId="25" xfId="0" applyFont="1" applyFill="1" applyBorder="1" applyAlignment="1">
      <alignment horizontal="center" vertical="center" wrapText="1"/>
    </xf>
    <xf numFmtId="0" fontId="97" fillId="0" borderId="57" xfId="0" applyFont="1" applyFill="1" applyBorder="1" applyAlignment="1">
      <alignment horizontal="center" vertical="center" wrapText="1"/>
    </xf>
    <xf numFmtId="0" fontId="97" fillId="35" borderId="60" xfId="0" applyFont="1" applyFill="1" applyBorder="1" applyAlignment="1">
      <alignment horizontal="center" vertical="center" wrapText="1"/>
    </xf>
    <xf numFmtId="0" fontId="97" fillId="35" borderId="67" xfId="0" applyFont="1" applyFill="1" applyBorder="1" applyAlignment="1">
      <alignment horizontal="center" vertical="center" wrapText="1"/>
    </xf>
    <xf numFmtId="0" fontId="97" fillId="35" borderId="61" xfId="0" applyFont="1" applyFill="1" applyBorder="1" applyAlignment="1">
      <alignment horizontal="center" vertical="center" wrapText="1"/>
    </xf>
    <xf numFmtId="0" fontId="97" fillId="0" borderId="61" xfId="16" applyFont="1" applyFill="1" applyBorder="1" applyAlignment="1">
      <alignment horizontal="center" vertical="center" wrapText="1"/>
      <protection/>
    </xf>
    <xf numFmtId="0" fontId="97" fillId="0" borderId="21" xfId="0" applyFont="1" applyFill="1" applyBorder="1" applyAlignment="1">
      <alignment horizontal="center" vertical="center" wrapText="1"/>
    </xf>
    <xf numFmtId="0" fontId="97" fillId="35" borderId="63" xfId="0" applyFont="1" applyFill="1" applyBorder="1" applyAlignment="1">
      <alignment horizontal="center" vertical="center" wrapText="1"/>
    </xf>
    <xf numFmtId="0" fontId="97" fillId="0" borderId="63" xfId="16" applyFont="1" applyFill="1" applyBorder="1" applyAlignment="1">
      <alignment horizontal="center" vertical="center" wrapText="1"/>
      <protection/>
    </xf>
    <xf numFmtId="0" fontId="97" fillId="0" borderId="25" xfId="16" applyFont="1" applyFill="1" applyBorder="1" applyAlignment="1">
      <alignment horizontal="center" vertical="center" wrapText="1"/>
      <protection/>
    </xf>
    <xf numFmtId="0" fontId="98" fillId="0" borderId="25" xfId="0" applyFont="1" applyFill="1" applyBorder="1" applyAlignment="1">
      <alignment horizontal="center" vertical="center" wrapText="1"/>
    </xf>
    <xf numFmtId="176" fontId="99" fillId="35" borderId="21" xfId="0" applyNumberFormat="1" applyFont="1" applyFill="1" applyBorder="1" applyAlignment="1">
      <alignment horizontal="center" vertical="center" wrapText="1"/>
    </xf>
    <xf numFmtId="0" fontId="98" fillId="36" borderId="60" xfId="0" applyFont="1" applyFill="1" applyBorder="1" applyAlignment="1">
      <alignment horizontal="center" vertical="center" wrapText="1"/>
    </xf>
    <xf numFmtId="176" fontId="100" fillId="36" borderId="25" xfId="0" applyNumberFormat="1" applyFont="1" applyFill="1" applyBorder="1" applyAlignment="1">
      <alignment horizontal="center" vertical="center" wrapText="1"/>
    </xf>
    <xf numFmtId="176" fontId="76" fillId="0" borderId="25" xfId="0" applyNumberFormat="1" applyFont="1" applyFill="1" applyBorder="1" applyAlignment="1">
      <alignment horizontal="center" vertical="center" wrapText="1"/>
    </xf>
    <xf numFmtId="176" fontId="76" fillId="0" borderId="25" xfId="61" applyNumberFormat="1" applyFont="1" applyFill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center" vertical="center" wrapText="1"/>
    </xf>
    <xf numFmtId="176" fontId="76" fillId="0" borderId="25" xfId="0" applyNumberFormat="1" applyFont="1" applyFill="1" applyBorder="1" applyAlignment="1">
      <alignment horizontal="center" vertical="center" wrapText="1"/>
    </xf>
    <xf numFmtId="0" fontId="202" fillId="0" borderId="0" xfId="16" applyFont="1" applyFill="1" applyAlignment="1">
      <alignment horizontal="left" vertical="center" wrapText="1"/>
      <protection/>
    </xf>
    <xf numFmtId="0" fontId="198" fillId="0" borderId="0" xfId="16" applyFont="1" applyFill="1" applyAlignment="1">
      <alignment vertical="center"/>
      <protection/>
    </xf>
    <xf numFmtId="10" fontId="100" fillId="36" borderId="25" xfId="61" applyNumberFormat="1" applyFont="1" applyFill="1" applyBorder="1" applyAlignment="1">
      <alignment horizontal="center" vertical="center" wrapText="1"/>
    </xf>
    <xf numFmtId="10" fontId="76" fillId="0" borderId="25" xfId="61" applyNumberFormat="1" applyFont="1" applyFill="1" applyBorder="1" applyAlignment="1">
      <alignment horizontal="center" vertical="center" wrapText="1"/>
    </xf>
    <xf numFmtId="176" fontId="76" fillId="35" borderId="25" xfId="0" applyNumberFormat="1" applyFont="1" applyFill="1" applyBorder="1" applyAlignment="1">
      <alignment horizontal="center" vertical="center" wrapText="1"/>
    </xf>
    <xf numFmtId="0" fontId="97" fillId="35" borderId="26" xfId="0" applyFont="1" applyFill="1" applyBorder="1" applyAlignment="1">
      <alignment horizontal="center" vertical="center" wrapText="1"/>
    </xf>
    <xf numFmtId="10" fontId="100" fillId="36" borderId="25" xfId="0" applyNumberFormat="1" applyFont="1" applyFill="1" applyBorder="1" applyAlignment="1">
      <alignment horizontal="center" vertical="center" wrapText="1"/>
    </xf>
    <xf numFmtId="181" fontId="100" fillId="36" borderId="25" xfId="0" applyNumberFormat="1" applyFont="1" applyFill="1" applyBorder="1" applyAlignment="1">
      <alignment horizontal="center" vertical="center" wrapText="1"/>
    </xf>
    <xf numFmtId="10" fontId="76" fillId="0" borderId="25" xfId="0" applyNumberFormat="1" applyFont="1" applyFill="1" applyBorder="1" applyAlignment="1">
      <alignment horizontal="center" vertical="center" wrapText="1"/>
    </xf>
    <xf numFmtId="181" fontId="76" fillId="0" borderId="25" xfId="61" applyNumberFormat="1" applyFont="1" applyFill="1" applyBorder="1" applyAlignment="1">
      <alignment horizontal="center" vertical="center" wrapText="1"/>
    </xf>
    <xf numFmtId="181" fontId="76" fillId="0" borderId="25" xfId="61" applyNumberFormat="1" applyFont="1" applyFill="1" applyBorder="1" applyAlignment="1">
      <alignment horizontal="center" vertical="center" wrapText="1"/>
    </xf>
    <xf numFmtId="0" fontId="97" fillId="0" borderId="25" xfId="16" applyFont="1" applyFill="1" applyBorder="1" applyAlignment="1">
      <alignment horizontal="center" vertical="center"/>
      <protection/>
    </xf>
    <xf numFmtId="0" fontId="97" fillId="0" borderId="25" xfId="16" applyFont="1" applyFill="1" applyBorder="1" applyAlignment="1">
      <alignment horizontal="center" vertical="center"/>
      <protection/>
    </xf>
    <xf numFmtId="0" fontId="97" fillId="0" borderId="25" xfId="16" applyFont="1" applyFill="1" applyBorder="1" applyAlignment="1">
      <alignment horizontal="center" vertical="center" wrapText="1"/>
      <protection/>
    </xf>
    <xf numFmtId="0" fontId="97" fillId="0" borderId="68" xfId="16" applyFont="1" applyFill="1" applyBorder="1" applyAlignment="1">
      <alignment horizontal="center" vertical="center" wrapText="1"/>
      <protection/>
    </xf>
    <xf numFmtId="0" fontId="97" fillId="0" borderId="69" xfId="16" applyFont="1" applyFill="1" applyBorder="1" applyAlignment="1">
      <alignment horizontal="center" vertical="center" wrapText="1"/>
      <protection/>
    </xf>
    <xf numFmtId="0" fontId="97" fillId="0" borderId="70" xfId="16" applyFont="1" applyFill="1" applyBorder="1" applyAlignment="1">
      <alignment horizontal="center" vertical="center" wrapText="1"/>
      <protection/>
    </xf>
    <xf numFmtId="176" fontId="203" fillId="36" borderId="25" xfId="0" applyNumberFormat="1" applyFont="1" applyFill="1" applyBorder="1" applyAlignment="1">
      <alignment horizontal="center" vertical="center" wrapText="1"/>
    </xf>
    <xf numFmtId="10" fontId="203" fillId="36" borderId="25" xfId="0" applyNumberFormat="1" applyFont="1" applyFill="1" applyBorder="1" applyAlignment="1">
      <alignment horizontal="center" vertical="center" wrapText="1"/>
    </xf>
    <xf numFmtId="176" fontId="204" fillId="0" borderId="25" xfId="0" applyNumberFormat="1" applyFont="1" applyFill="1" applyBorder="1" applyAlignment="1">
      <alignment horizontal="center" vertical="center" wrapText="1"/>
    </xf>
    <xf numFmtId="10" fontId="204" fillId="0" borderId="25" xfId="0" applyNumberFormat="1" applyFont="1" applyFill="1" applyBorder="1" applyAlignment="1">
      <alignment horizontal="center" vertical="center" wrapText="1"/>
    </xf>
    <xf numFmtId="176" fontId="204" fillId="0" borderId="25" xfId="0" applyNumberFormat="1" applyFont="1" applyFill="1" applyBorder="1" applyAlignment="1">
      <alignment horizontal="center" vertical="center" wrapText="1"/>
    </xf>
    <xf numFmtId="0" fontId="205" fillId="0" borderId="0" xfId="16" applyFont="1" applyFill="1" applyAlignment="1">
      <alignment horizontal="center" vertical="center" wrapText="1"/>
      <protection/>
    </xf>
    <xf numFmtId="0" fontId="205" fillId="0" borderId="0" xfId="16" applyFont="1" applyFill="1" applyBorder="1" applyAlignment="1">
      <alignment horizontal="center" vertical="center" wrapText="1"/>
      <protection/>
    </xf>
    <xf numFmtId="0" fontId="197" fillId="0" borderId="0" xfId="16" applyFont="1" applyFill="1" applyBorder="1" applyAlignment="1">
      <alignment horizontal="center" vertical="center" wrapText="1"/>
      <protection/>
    </xf>
    <xf numFmtId="0" fontId="197" fillId="0" borderId="0" xfId="16" applyFont="1" applyFill="1" applyAlignment="1">
      <alignment vertical="center" wrapText="1"/>
      <protection/>
    </xf>
    <xf numFmtId="0" fontId="47" fillId="0" borderId="0" xfId="16" applyFont="1" applyFill="1" applyBorder="1" applyAlignment="1">
      <alignment horizontal="left" vertical="center"/>
      <protection/>
    </xf>
    <xf numFmtId="0" fontId="206" fillId="0" borderId="0" xfId="16" applyFont="1" applyFill="1" applyAlignment="1">
      <alignment horizontal="center" vertical="center" wrapText="1"/>
      <protection/>
    </xf>
    <xf numFmtId="0" fontId="207" fillId="0" borderId="0" xfId="16" applyFont="1" applyFill="1" applyAlignment="1">
      <alignment horizontal="center" vertical="center"/>
      <protection/>
    </xf>
    <xf numFmtId="0" fontId="107" fillId="0" borderId="0" xfId="16" applyFont="1" applyFill="1" applyAlignment="1">
      <alignment horizontal="center" vertical="center"/>
      <protection/>
    </xf>
    <xf numFmtId="177" fontId="16" fillId="0" borderId="58" xfId="17" applyNumberFormat="1" applyFont="1" applyFill="1" applyBorder="1" applyAlignment="1" applyProtection="1">
      <alignment horizontal="center" vertical="center" wrapText="1"/>
      <protection/>
    </xf>
    <xf numFmtId="177" fontId="16" fillId="0" borderId="0" xfId="17" applyNumberFormat="1" applyFont="1" applyFill="1" applyBorder="1" applyAlignment="1" applyProtection="1">
      <alignment horizontal="center" vertical="center" wrapText="1"/>
      <protection/>
    </xf>
    <xf numFmtId="177" fontId="16" fillId="0" borderId="24" xfId="17" applyNumberFormat="1" applyFont="1" applyFill="1" applyBorder="1" applyAlignment="1" applyProtection="1">
      <alignment horizontal="center" vertical="center" wrapText="1"/>
      <protection/>
    </xf>
    <xf numFmtId="177" fontId="16" fillId="0" borderId="65" xfId="17" applyNumberFormat="1" applyFont="1" applyFill="1" applyBorder="1" applyAlignment="1" applyProtection="1">
      <alignment horizontal="center" vertical="center" wrapText="1"/>
      <protection/>
    </xf>
    <xf numFmtId="177" fontId="51" fillId="0" borderId="63" xfId="17" applyNumberFormat="1" applyFont="1" applyFill="1" applyBorder="1" applyAlignment="1" applyProtection="1">
      <alignment horizontal="center" vertical="center" wrapText="1"/>
      <protection/>
    </xf>
    <xf numFmtId="177" fontId="51" fillId="0" borderId="43" xfId="17" applyNumberFormat="1" applyFont="1" applyFill="1" applyBorder="1" applyAlignment="1" applyProtection="1">
      <alignment horizontal="center" vertical="center" wrapText="1"/>
      <protection/>
    </xf>
    <xf numFmtId="177" fontId="52" fillId="0" borderId="43" xfId="17" applyNumberFormat="1" applyFont="1" applyFill="1" applyBorder="1" applyAlignment="1" applyProtection="1">
      <alignment horizontal="center" vertical="center" wrapText="1"/>
      <protection/>
    </xf>
    <xf numFmtId="0" fontId="181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177" fontId="175" fillId="0" borderId="0" xfId="0" applyNumberFormat="1" applyFont="1" applyFill="1" applyBorder="1" applyAlignment="1">
      <alignment horizontal="left" vertical="center"/>
    </xf>
    <xf numFmtId="0" fontId="163" fillId="0" borderId="58" xfId="0" applyFont="1" applyFill="1" applyBorder="1" applyAlignment="1">
      <alignment horizontal="center" vertical="center" wrapText="1"/>
    </xf>
    <xf numFmtId="0" fontId="163" fillId="0" borderId="0" xfId="0" applyFont="1" applyFill="1" applyBorder="1" applyAlignment="1">
      <alignment horizontal="center" vertical="center" wrapText="1"/>
    </xf>
    <xf numFmtId="0" fontId="163" fillId="0" borderId="25" xfId="0" applyFont="1" applyFill="1" applyBorder="1" applyAlignment="1">
      <alignment horizontal="center" vertical="center" wrapText="1"/>
    </xf>
    <xf numFmtId="10" fontId="181" fillId="0" borderId="25" xfId="0" applyNumberFormat="1" applyFont="1" applyFill="1" applyBorder="1" applyAlignment="1">
      <alignment horizontal="center" vertical="center"/>
    </xf>
    <xf numFmtId="177" fontId="51" fillId="0" borderId="24" xfId="0" applyNumberFormat="1" applyFont="1" applyFill="1" applyBorder="1" applyAlignment="1">
      <alignment horizontal="center" vertical="center"/>
    </xf>
    <xf numFmtId="0" fontId="174" fillId="0" borderId="0" xfId="0" applyFont="1" applyFill="1" applyAlignment="1">
      <alignment horizontal="center" vertical="center" wrapText="1"/>
    </xf>
    <xf numFmtId="0" fontId="184" fillId="0" borderId="24" xfId="0" applyFont="1" applyFill="1" applyBorder="1" applyAlignment="1">
      <alignment horizontal="center" vertical="center" wrapText="1"/>
    </xf>
    <xf numFmtId="0" fontId="184" fillId="0" borderId="57" xfId="0" applyFont="1" applyFill="1" applyBorder="1" applyAlignment="1">
      <alignment horizontal="center" vertical="center" wrapText="1"/>
    </xf>
    <xf numFmtId="0" fontId="184" fillId="0" borderId="2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" fillId="0" borderId="0" xfId="16" applyFont="1" applyAlignment="1">
      <alignment horizontal="center" vertical="center" wrapText="1"/>
      <protection/>
    </xf>
    <xf numFmtId="0" fontId="7" fillId="3" borderId="0" xfId="16" applyFont="1" applyFill="1" applyAlignment="1">
      <alignment horizontal="left" wrapText="1"/>
      <protection/>
    </xf>
    <xf numFmtId="0" fontId="7" fillId="19" borderId="0" xfId="16" applyFont="1" applyFill="1" applyAlignment="1">
      <alignment horizontal="left" wrapText="1"/>
      <protection/>
    </xf>
    <xf numFmtId="0" fontId="7" fillId="14" borderId="0" xfId="16" applyFont="1" applyFill="1" applyAlignment="1">
      <alignment horizontal="left" wrapText="1"/>
      <protection/>
    </xf>
    <xf numFmtId="0" fontId="108" fillId="0" borderId="9" xfId="16" applyFont="1" applyFill="1" applyBorder="1" applyAlignment="1">
      <alignment horizontal="center" vertical="center" wrapText="1"/>
      <protection/>
    </xf>
    <xf numFmtId="0" fontId="192" fillId="0" borderId="0" xfId="0" applyFont="1" applyFill="1" applyBorder="1" applyAlignment="1">
      <alignment horizontal="center" vertical="center" wrapText="1"/>
    </xf>
    <xf numFmtId="0" fontId="208" fillId="0" borderId="11" xfId="16" applyFont="1" applyFill="1" applyBorder="1" applyAlignment="1">
      <alignment horizontal="center" vertical="center" wrapText="1"/>
      <protection/>
    </xf>
    <xf numFmtId="0" fontId="208" fillId="0" borderId="12" xfId="16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178" fontId="14" fillId="0" borderId="20" xfId="0" applyNumberFormat="1" applyFont="1" applyFill="1" applyBorder="1" applyAlignment="1">
      <alignment horizontal="center" vertical="center" wrapText="1"/>
    </xf>
    <xf numFmtId="178" fontId="14" fillId="0" borderId="71" xfId="0" applyNumberFormat="1" applyFont="1" applyFill="1" applyBorder="1" applyAlignment="1">
      <alignment horizontal="center" vertical="center" wrapText="1"/>
    </xf>
    <xf numFmtId="178" fontId="14" fillId="0" borderId="64" xfId="0" applyNumberFormat="1" applyFont="1" applyFill="1" applyBorder="1" applyAlignment="1">
      <alignment horizontal="center" vertical="center" wrapText="1"/>
    </xf>
    <xf numFmtId="10" fontId="14" fillId="0" borderId="72" xfId="0" applyNumberFormat="1" applyFont="1" applyFill="1" applyBorder="1" applyAlignment="1">
      <alignment horizontal="center" vertical="center" wrapText="1"/>
    </xf>
    <xf numFmtId="178" fontId="14" fillId="0" borderId="73" xfId="0" applyNumberFormat="1" applyFont="1" applyFill="1" applyBorder="1" applyAlignment="1">
      <alignment horizontal="center" vertical="center" wrapText="1"/>
    </xf>
    <xf numFmtId="178" fontId="14" fillId="0" borderId="66" xfId="0" applyNumberFormat="1" applyFont="1" applyFill="1" applyBorder="1" applyAlignment="1">
      <alignment horizontal="center" vertical="center" wrapText="1"/>
    </xf>
    <xf numFmtId="10" fontId="14" fillId="0" borderId="74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178" fontId="14" fillId="0" borderId="40" xfId="0" applyNumberFormat="1" applyFont="1" applyFill="1" applyBorder="1" applyAlignment="1">
      <alignment horizontal="center" vertical="center" wrapText="1"/>
    </xf>
    <xf numFmtId="10" fontId="14" fillId="0" borderId="41" xfId="0" applyNumberFormat="1" applyFont="1" applyFill="1" applyBorder="1" applyAlignment="1">
      <alignment horizontal="center" vertical="center" wrapText="1"/>
    </xf>
    <xf numFmtId="10" fontId="192" fillId="0" borderId="0" xfId="0" applyNumberFormat="1" applyFont="1" applyFill="1" applyBorder="1" applyAlignment="1">
      <alignment horizontal="center" vertical="center" wrapText="1"/>
    </xf>
    <xf numFmtId="0" fontId="208" fillId="0" borderId="14" xfId="16" applyFont="1" applyFill="1" applyBorder="1" applyAlignment="1">
      <alignment horizontal="center" vertical="center" wrapText="1"/>
      <protection/>
    </xf>
    <xf numFmtId="0" fontId="208" fillId="0" borderId="15" xfId="16" applyFont="1" applyFill="1" applyBorder="1" applyAlignment="1">
      <alignment horizontal="center" vertical="center" wrapText="1"/>
      <protection/>
    </xf>
    <xf numFmtId="10" fontId="208" fillId="0" borderId="34" xfId="16" applyNumberFormat="1" applyFont="1" applyFill="1" applyBorder="1" applyAlignment="1">
      <alignment horizontal="center" vertical="center" wrapText="1"/>
      <protection/>
    </xf>
    <xf numFmtId="0" fontId="21" fillId="0" borderId="23" xfId="16" applyFont="1" applyFill="1" applyBorder="1" applyAlignment="1">
      <alignment horizontal="center" vertical="center" wrapText="1"/>
      <protection/>
    </xf>
    <xf numFmtId="9" fontId="21" fillId="0" borderId="25" xfId="16" applyNumberFormat="1" applyFont="1" applyFill="1" applyBorder="1" applyAlignment="1">
      <alignment horizontal="center" vertical="center" wrapText="1"/>
      <protection/>
    </xf>
    <xf numFmtId="10" fontId="21" fillId="0" borderId="44" xfId="16" applyNumberFormat="1" applyFont="1" applyFill="1" applyBorder="1" applyAlignment="1">
      <alignment horizontal="center" vertical="center" wrapText="1"/>
      <protection/>
    </xf>
    <xf numFmtId="0" fontId="14" fillId="0" borderId="44" xfId="0" applyNumberFormat="1" applyFont="1" applyFill="1" applyBorder="1" applyAlignment="1" applyProtection="1">
      <alignment horizontal="center" vertical="center" wrapText="1"/>
      <protection/>
    </xf>
    <xf numFmtId="178" fontId="14" fillId="0" borderId="23" xfId="0" applyNumberFormat="1" applyFont="1" applyFill="1" applyBorder="1" applyAlignment="1">
      <alignment horizontal="center" vertical="center" shrinkToFit="1"/>
    </xf>
    <xf numFmtId="10" fontId="14" fillId="0" borderId="20" xfId="15" applyNumberFormat="1" applyFont="1" applyFill="1" applyBorder="1" applyAlignment="1">
      <alignment horizontal="center" vertical="center"/>
      <protection/>
    </xf>
    <xf numFmtId="179" fontId="14" fillId="0" borderId="71" xfId="15" applyNumberFormat="1" applyFont="1" applyFill="1" applyBorder="1" applyAlignment="1">
      <alignment horizontal="center" vertical="center"/>
      <protection/>
    </xf>
    <xf numFmtId="0" fontId="14" fillId="0" borderId="64" xfId="0" applyFont="1" applyFill="1" applyBorder="1" applyAlignment="1">
      <alignment horizontal="center" vertical="center"/>
    </xf>
    <xf numFmtId="10" fontId="14" fillId="0" borderId="72" xfId="15" applyNumberFormat="1" applyFont="1" applyFill="1" applyBorder="1" applyAlignment="1">
      <alignment horizontal="center" vertical="center"/>
      <protection/>
    </xf>
    <xf numFmtId="178" fontId="14" fillId="0" borderId="71" xfId="0" applyNumberFormat="1" applyFont="1" applyFill="1" applyBorder="1" applyAlignment="1">
      <alignment horizontal="center" vertical="center" shrinkToFit="1"/>
    </xf>
    <xf numFmtId="179" fontId="14" fillId="0" borderId="73" xfId="15" applyNumberFormat="1" applyFont="1" applyFill="1" applyBorder="1" applyAlignment="1">
      <alignment horizontal="center" vertical="center"/>
      <protection/>
    </xf>
    <xf numFmtId="0" fontId="14" fillId="0" borderId="66" xfId="0" applyFont="1" applyFill="1" applyBorder="1" applyAlignment="1">
      <alignment horizontal="center" vertical="center"/>
    </xf>
    <xf numFmtId="10" fontId="14" fillId="0" borderId="74" xfId="15" applyNumberFormat="1" applyFont="1" applyFill="1" applyBorder="1" applyAlignment="1">
      <alignment horizontal="center" vertical="center"/>
      <protection/>
    </xf>
    <xf numFmtId="10" fontId="14" fillId="0" borderId="75" xfId="15" applyNumberFormat="1" applyFont="1" applyFill="1" applyBorder="1" applyAlignment="1">
      <alignment horizontal="center" vertical="center"/>
      <protection/>
    </xf>
    <xf numFmtId="10" fontId="14" fillId="0" borderId="52" xfId="15" applyNumberFormat="1" applyFont="1" applyFill="1" applyBorder="1" applyAlignment="1">
      <alignment horizontal="center" vertical="center"/>
      <protection/>
    </xf>
    <xf numFmtId="10" fontId="14" fillId="0" borderId="40" xfId="15" applyNumberFormat="1" applyFont="1" applyFill="1" applyBorder="1" applyAlignment="1">
      <alignment horizontal="center" vertical="center"/>
      <protection/>
    </xf>
    <xf numFmtId="10" fontId="14" fillId="0" borderId="41" xfId="15" applyNumberFormat="1" applyFont="1" applyFill="1" applyBorder="1" applyAlignment="1">
      <alignment horizontal="center" vertical="center"/>
      <protection/>
    </xf>
    <xf numFmtId="0" fontId="14" fillId="0" borderId="52" xfId="16" applyFont="1" applyFill="1" applyBorder="1" applyAlignment="1">
      <alignment horizontal="center" vertical="center"/>
      <protection/>
    </xf>
    <xf numFmtId="177" fontId="3" fillId="0" borderId="0" xfId="16" applyNumberFormat="1" applyFont="1" applyAlignment="1">
      <alignment vertical="center"/>
      <protection/>
    </xf>
    <xf numFmtId="0" fontId="192" fillId="0" borderId="9" xfId="0" applyFont="1" applyFill="1" applyBorder="1" applyAlignment="1">
      <alignment horizontal="center" vertical="center" wrapText="1"/>
    </xf>
    <xf numFmtId="0" fontId="208" fillId="0" borderId="50" xfId="16" applyFont="1" applyFill="1" applyBorder="1" applyAlignment="1">
      <alignment horizontal="center" vertical="center" wrapText="1"/>
      <protection/>
    </xf>
    <xf numFmtId="0" fontId="208" fillId="0" borderId="35" xfId="16" applyFont="1" applyFill="1" applyBorder="1" applyAlignment="1">
      <alignment horizontal="center" vertical="center" wrapText="1"/>
      <protection/>
    </xf>
    <xf numFmtId="0" fontId="208" fillId="0" borderId="36" xfId="16" applyFont="1" applyFill="1" applyBorder="1" applyAlignment="1">
      <alignment horizontal="center" vertical="center" wrapText="1"/>
      <protection/>
    </xf>
    <xf numFmtId="0" fontId="21" fillId="0" borderId="25" xfId="16" applyFont="1" applyFill="1" applyBorder="1" applyAlignment="1">
      <alignment horizontal="center" vertical="center" wrapText="1"/>
      <protection/>
    </xf>
    <xf numFmtId="9" fontId="21" fillId="0" borderId="23" xfId="16" applyNumberFormat="1" applyFont="1" applyFill="1" applyBorder="1" applyAlignment="1">
      <alignment horizontal="center" vertical="center" wrapText="1"/>
      <protection/>
    </xf>
    <xf numFmtId="10" fontId="14" fillId="0" borderId="21" xfId="15" applyNumberFormat="1" applyFont="1" applyFill="1" applyBorder="1" applyAlignment="1">
      <alignment horizontal="center" vertical="center"/>
      <protection/>
    </xf>
    <xf numFmtId="178" fontId="14" fillId="0" borderId="64" xfId="0" applyNumberFormat="1" applyFont="1" applyFill="1" applyBorder="1" applyAlignment="1">
      <alignment horizontal="center" vertical="center" shrinkToFit="1"/>
    </xf>
    <xf numFmtId="176" fontId="14" fillId="0" borderId="64" xfId="15" applyNumberFormat="1" applyFont="1" applyFill="1" applyBorder="1" applyAlignment="1">
      <alignment horizontal="center" vertical="center"/>
      <protection/>
    </xf>
    <xf numFmtId="10" fontId="14" fillId="0" borderId="66" xfId="15" applyNumberFormat="1" applyFont="1" applyFill="1" applyBorder="1" applyAlignment="1">
      <alignment horizontal="center" vertical="center"/>
      <protection/>
    </xf>
    <xf numFmtId="10" fontId="14" fillId="0" borderId="76" xfId="15" applyNumberFormat="1" applyFont="1" applyFill="1" applyBorder="1" applyAlignment="1">
      <alignment horizontal="center" vertical="center"/>
      <protection/>
    </xf>
    <xf numFmtId="0" fontId="14" fillId="0" borderId="40" xfId="16" applyFont="1" applyFill="1" applyBorder="1" applyAlignment="1">
      <alignment horizontal="center" vertical="center"/>
      <protection/>
    </xf>
    <xf numFmtId="179" fontId="14" fillId="0" borderId="52" xfId="15" applyNumberFormat="1" applyFont="1" applyFill="1" applyBorder="1" applyAlignment="1">
      <alignment horizontal="center" vertical="center"/>
      <protection/>
    </xf>
    <xf numFmtId="176" fontId="14" fillId="0" borderId="40" xfId="15" applyNumberFormat="1" applyFont="1" applyFill="1" applyBorder="1" applyAlignment="1">
      <alignment horizontal="center" vertical="center"/>
      <protection/>
    </xf>
    <xf numFmtId="10" fontId="3" fillId="0" borderId="0" xfId="16" applyNumberFormat="1" applyFont="1" applyAlignment="1">
      <alignment vertical="center"/>
      <protection/>
    </xf>
    <xf numFmtId="0" fontId="24" fillId="0" borderId="0" xfId="16" applyFont="1" applyBorder="1" applyAlignment="1">
      <alignment horizontal="center" vertical="center"/>
      <protection/>
    </xf>
    <xf numFmtId="0" fontId="8" fillId="3" borderId="0" xfId="16" applyFont="1" applyFill="1" applyAlignment="1">
      <alignment horizontal="left" wrapText="1"/>
      <protection/>
    </xf>
    <xf numFmtId="0" fontId="26" fillId="3" borderId="0" xfId="16" applyFont="1" applyFill="1" applyAlignment="1">
      <alignment horizontal="center" vertical="center" wrapText="1"/>
      <protection/>
    </xf>
    <xf numFmtId="0" fontId="208" fillId="0" borderId="37" xfId="16" applyFont="1" applyFill="1" applyBorder="1" applyAlignment="1">
      <alignment horizontal="center" vertical="center" wrapText="1"/>
      <protection/>
    </xf>
    <xf numFmtId="0" fontId="24" fillId="0" borderId="53" xfId="16" applyFont="1" applyBorder="1" applyAlignment="1">
      <alignment horizontal="center" vertical="center" wrapText="1"/>
      <protection/>
    </xf>
    <xf numFmtId="0" fontId="7" fillId="3" borderId="25" xfId="16" applyFont="1" applyFill="1" applyBorder="1" applyAlignment="1">
      <alignment horizontal="center" vertical="center" wrapText="1"/>
      <protection/>
    </xf>
    <xf numFmtId="0" fontId="24" fillId="0" borderId="13" xfId="16" applyFont="1" applyBorder="1" applyAlignment="1">
      <alignment horizontal="center" vertical="center" wrapText="1"/>
      <protection/>
    </xf>
    <xf numFmtId="9" fontId="21" fillId="0" borderId="44" xfId="16" applyNumberFormat="1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7" fillId="14" borderId="25" xfId="16" applyFont="1" applyFill="1" applyBorder="1" applyAlignment="1">
      <alignment horizontal="center" vertical="center" wrapText="1"/>
      <protection/>
    </xf>
    <xf numFmtId="0" fontId="7" fillId="37" borderId="25" xfId="16" applyFont="1" applyFill="1" applyBorder="1" applyAlignment="1">
      <alignment horizontal="center" vertical="center" wrapText="1"/>
      <protection/>
    </xf>
    <xf numFmtId="0" fontId="7" fillId="3" borderId="2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7" fillId="3" borderId="25" xfId="16" applyFont="1" applyFill="1" applyBorder="1" applyAlignment="1">
      <alignment horizontal="left" wrapText="1"/>
      <protection/>
    </xf>
    <xf numFmtId="0" fontId="209" fillId="0" borderId="0" xfId="0" applyFont="1" applyFill="1" applyBorder="1" applyAlignment="1">
      <alignment horizontal="center" vertical="center" wrapText="1"/>
    </xf>
    <xf numFmtId="176" fontId="8" fillId="3" borderId="0" xfId="16" applyNumberFormat="1" applyFont="1" applyFill="1" applyAlignment="1">
      <alignment wrapText="1"/>
      <protection/>
    </xf>
    <xf numFmtId="0" fontId="8" fillId="19" borderId="0" xfId="16" applyFont="1" applyFill="1" applyAlignment="1">
      <alignment horizontal="left" wrapText="1"/>
      <protection/>
    </xf>
    <xf numFmtId="0" fontId="26" fillId="19" borderId="0" xfId="16" applyFont="1" applyFill="1" applyAlignment="1">
      <alignment horizontal="center" vertical="center" wrapText="1"/>
      <protection/>
    </xf>
    <xf numFmtId="0" fontId="7" fillId="19" borderId="0" xfId="16" applyFont="1" applyFill="1" applyAlignment="1">
      <alignment horizontal="center" vertical="center" wrapText="1"/>
      <protection/>
    </xf>
    <xf numFmtId="0" fontId="7" fillId="19" borderId="25" xfId="16" applyFont="1" applyFill="1" applyBorder="1" applyAlignment="1">
      <alignment horizontal="center" vertical="center" wrapText="1"/>
      <protection/>
    </xf>
    <xf numFmtId="0" fontId="7" fillId="19" borderId="24" xfId="16" applyFont="1" applyFill="1" applyBorder="1" applyAlignment="1">
      <alignment horizontal="center" vertical="center" wrapText="1"/>
      <protection/>
    </xf>
    <xf numFmtId="0" fontId="7" fillId="19" borderId="57" xfId="16" applyFont="1" applyFill="1" applyBorder="1" applyAlignment="1">
      <alignment horizontal="center" vertical="center" wrapText="1"/>
      <protection/>
    </xf>
    <xf numFmtId="0" fontId="7" fillId="19" borderId="21" xfId="16" applyFont="1" applyFill="1" applyBorder="1" applyAlignment="1">
      <alignment horizontal="center" vertical="center" wrapText="1"/>
      <protection/>
    </xf>
    <xf numFmtId="178" fontId="7" fillId="3" borderId="25" xfId="16" applyNumberFormat="1" applyFont="1" applyFill="1" applyBorder="1" applyAlignment="1">
      <alignment horizontal="center" vertical="center" wrapText="1"/>
      <protection/>
    </xf>
    <xf numFmtId="178" fontId="7" fillId="0" borderId="25" xfId="16" applyNumberFormat="1" applyFont="1" applyFill="1" applyBorder="1" applyAlignment="1">
      <alignment horizontal="center" vertical="center" wrapText="1"/>
      <protection/>
    </xf>
    <xf numFmtId="0" fontId="7" fillId="38" borderId="25" xfId="16" applyFont="1" applyFill="1" applyBorder="1" applyAlignment="1">
      <alignment horizontal="center" vertical="center" wrapText="1"/>
      <protection/>
    </xf>
    <xf numFmtId="0" fontId="26" fillId="38" borderId="25" xfId="16" applyFont="1" applyFill="1" applyBorder="1" applyAlignment="1">
      <alignment horizontal="center" vertical="center" wrapText="1"/>
      <protection/>
    </xf>
    <xf numFmtId="0" fontId="7" fillId="19" borderId="25" xfId="0" applyFont="1" applyFill="1" applyBorder="1" applyAlignment="1">
      <alignment horizontal="center" vertical="center" wrapText="1"/>
    </xf>
    <xf numFmtId="178" fontId="7" fillId="0" borderId="24" xfId="16" applyNumberFormat="1" applyFont="1" applyFill="1" applyBorder="1" applyAlignment="1">
      <alignment horizontal="center" vertical="center" wrapText="1"/>
      <protection/>
    </xf>
    <xf numFmtId="178" fontId="7" fillId="37" borderId="25" xfId="16" applyNumberFormat="1" applyFont="1" applyFill="1" applyBorder="1" applyAlignment="1">
      <alignment horizontal="center" vertical="center" wrapText="1"/>
      <protection/>
    </xf>
    <xf numFmtId="178" fontId="7" fillId="3" borderId="21" xfId="16" applyNumberFormat="1" applyFont="1" applyFill="1" applyBorder="1" applyAlignment="1">
      <alignment horizontal="center" vertical="center" wrapText="1"/>
      <protection/>
    </xf>
    <xf numFmtId="0" fontId="26" fillId="19" borderId="25" xfId="16" applyFont="1" applyFill="1" applyBorder="1" applyAlignment="1">
      <alignment horizontal="center" vertical="center" wrapText="1"/>
      <protection/>
    </xf>
    <xf numFmtId="0" fontId="7" fillId="19" borderId="25" xfId="16" applyFont="1" applyFill="1" applyBorder="1" applyAlignment="1">
      <alignment horizontal="left" wrapText="1"/>
      <protection/>
    </xf>
    <xf numFmtId="176" fontId="8" fillId="19" borderId="0" xfId="16" applyNumberFormat="1" applyFont="1" applyFill="1" applyAlignment="1">
      <alignment wrapText="1"/>
      <protection/>
    </xf>
    <xf numFmtId="0" fontId="8" fillId="14" borderId="0" xfId="16" applyFont="1" applyFill="1" applyAlignment="1">
      <alignment horizontal="left" wrapText="1"/>
      <protection/>
    </xf>
    <xf numFmtId="0" fontId="26" fillId="14" borderId="0" xfId="16" applyFont="1" applyFill="1" applyAlignment="1">
      <alignment wrapText="1"/>
      <protection/>
    </xf>
    <xf numFmtId="0" fontId="209" fillId="0" borderId="25" xfId="0" applyFont="1" applyFill="1" applyBorder="1" applyAlignment="1">
      <alignment vertical="center" wrapText="1"/>
    </xf>
    <xf numFmtId="0" fontId="7" fillId="0" borderId="0" xfId="16" applyFont="1" applyFill="1" applyBorder="1" applyAlignment="1">
      <alignment horizontal="center" vertical="center" wrapText="1"/>
      <protection/>
    </xf>
    <xf numFmtId="176" fontId="8" fillId="14" borderId="0" xfId="16" applyNumberFormat="1" applyFont="1" applyFill="1" applyAlignment="1">
      <alignment wrapText="1"/>
      <protection/>
    </xf>
    <xf numFmtId="0" fontId="170" fillId="0" borderId="21" xfId="0" applyFont="1" applyFill="1" applyBorder="1" applyAlignment="1">
      <alignment vertical="center"/>
    </xf>
    <xf numFmtId="0" fontId="22" fillId="0" borderId="25" xfId="0" applyNumberFormat="1" applyFont="1" applyFill="1" applyBorder="1" applyAlignment="1">
      <alignment vertical="center" wrapText="1"/>
    </xf>
    <xf numFmtId="0" fontId="170" fillId="0" borderId="25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10" fillId="0" borderId="0" xfId="16" applyFont="1" applyAlignment="1">
      <alignment horizontal="left"/>
      <protection/>
    </xf>
    <xf numFmtId="0" fontId="108" fillId="0" borderId="9" xfId="16" applyFont="1" applyBorder="1" applyAlignment="1">
      <alignment horizontal="center" vertical="center" wrapText="1"/>
      <protection/>
    </xf>
    <xf numFmtId="0" fontId="192" fillId="0" borderId="0" xfId="0" applyFont="1" applyBorder="1" applyAlignment="1">
      <alignment horizontal="center" vertical="center" wrapText="1"/>
    </xf>
    <xf numFmtId="0" fontId="208" fillId="0" borderId="11" xfId="16" applyFont="1" applyBorder="1" applyAlignment="1">
      <alignment horizontal="center" vertical="center" wrapText="1"/>
      <protection/>
    </xf>
    <xf numFmtId="0" fontId="208" fillId="0" borderId="12" xfId="16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178" fontId="14" fillId="0" borderId="20" xfId="0" applyNumberFormat="1" applyFont="1" applyBorder="1" applyAlignment="1">
      <alignment horizontal="center" vertical="center" wrapText="1"/>
    </xf>
    <xf numFmtId="178" fontId="14" fillId="0" borderId="25" xfId="0" applyNumberFormat="1" applyFont="1" applyBorder="1" applyAlignment="1">
      <alignment horizontal="center" vertical="center" wrapText="1"/>
    </xf>
    <xf numFmtId="10" fontId="14" fillId="0" borderId="42" xfId="0" applyNumberFormat="1" applyFont="1" applyBorder="1" applyAlignment="1">
      <alignment horizontal="center" vertical="center" wrapText="1"/>
    </xf>
    <xf numFmtId="178" fontId="14" fillId="0" borderId="23" xfId="0" applyNumberFormat="1" applyFont="1" applyBorder="1" applyAlignment="1">
      <alignment horizontal="center" vertical="center" wrapText="1"/>
    </xf>
    <xf numFmtId="10" fontId="14" fillId="0" borderId="44" xfId="0" applyNumberFormat="1" applyFont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 wrapText="1"/>
    </xf>
    <xf numFmtId="178" fontId="14" fillId="37" borderId="23" xfId="0" applyNumberFormat="1" applyFont="1" applyFill="1" applyBorder="1" applyAlignment="1">
      <alignment horizontal="center" vertical="center" wrapText="1"/>
    </xf>
    <xf numFmtId="178" fontId="14" fillId="37" borderId="25" xfId="0" applyNumberFormat="1" applyFont="1" applyFill="1" applyBorder="1" applyAlignment="1">
      <alignment horizontal="center" vertical="center" wrapText="1"/>
    </xf>
    <xf numFmtId="10" fontId="14" fillId="37" borderId="42" xfId="0" applyNumberFormat="1" applyFont="1" applyFill="1" applyBorder="1" applyAlignment="1">
      <alignment horizontal="center" vertical="center" wrapText="1"/>
    </xf>
    <xf numFmtId="10" fontId="14" fillId="37" borderId="44" xfId="0" applyNumberFormat="1" applyFont="1" applyFill="1" applyBorder="1" applyAlignment="1">
      <alignment horizontal="center" vertical="center" wrapText="1"/>
    </xf>
    <xf numFmtId="0" fontId="25" fillId="37" borderId="54" xfId="0" applyFont="1" applyFill="1" applyBorder="1" applyAlignment="1">
      <alignment horizontal="center" vertical="center" wrapText="1"/>
    </xf>
    <xf numFmtId="178" fontId="14" fillId="37" borderId="71" xfId="0" applyNumberFormat="1" applyFont="1" applyFill="1" applyBorder="1" applyAlignment="1">
      <alignment horizontal="center" vertical="center" wrapText="1"/>
    </xf>
    <xf numFmtId="178" fontId="14" fillId="37" borderId="64" xfId="0" applyNumberFormat="1" applyFont="1" applyFill="1" applyBorder="1" applyAlignment="1">
      <alignment horizontal="center" vertical="center" wrapText="1"/>
    </xf>
    <xf numFmtId="10" fontId="14" fillId="37" borderId="72" xfId="0" applyNumberFormat="1" applyFont="1" applyFill="1" applyBorder="1" applyAlignment="1">
      <alignment horizontal="center" vertical="center" wrapText="1"/>
    </xf>
    <xf numFmtId="0" fontId="25" fillId="37" borderId="55" xfId="0" applyFont="1" applyFill="1" applyBorder="1" applyAlignment="1">
      <alignment horizontal="center" vertical="center" wrapText="1"/>
    </xf>
    <xf numFmtId="178" fontId="14" fillId="37" borderId="73" xfId="0" applyNumberFormat="1" applyFont="1" applyFill="1" applyBorder="1" applyAlignment="1">
      <alignment horizontal="center" vertical="center" wrapText="1"/>
    </xf>
    <xf numFmtId="178" fontId="14" fillId="37" borderId="66" xfId="0" applyNumberFormat="1" applyFont="1" applyFill="1" applyBorder="1" applyAlignment="1">
      <alignment horizontal="center" vertical="center" wrapText="1"/>
    </xf>
    <xf numFmtId="10" fontId="14" fillId="37" borderId="74" xfId="0" applyNumberFormat="1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78" fontId="14" fillId="0" borderId="40" xfId="0" applyNumberFormat="1" applyFont="1" applyBorder="1" applyAlignment="1">
      <alignment horizontal="center" vertical="center" wrapText="1"/>
    </xf>
    <xf numFmtId="10" fontId="14" fillId="0" borderId="41" xfId="0" applyNumberFormat="1" applyFont="1" applyBorder="1" applyAlignment="1">
      <alignment horizontal="center" vertical="center" wrapText="1"/>
    </xf>
    <xf numFmtId="10" fontId="192" fillId="0" borderId="0" xfId="0" applyNumberFormat="1" applyFont="1" applyBorder="1" applyAlignment="1">
      <alignment horizontal="center" vertical="center" wrapText="1"/>
    </xf>
    <xf numFmtId="0" fontId="208" fillId="0" borderId="14" xfId="16" applyFont="1" applyBorder="1" applyAlignment="1">
      <alignment horizontal="center" vertical="center" wrapText="1"/>
      <protection/>
    </xf>
    <xf numFmtId="10" fontId="208" fillId="0" borderId="34" xfId="16" applyNumberFormat="1" applyFont="1" applyBorder="1" applyAlignment="1">
      <alignment horizontal="center" vertical="center" wrapText="1"/>
      <protection/>
    </xf>
    <xf numFmtId="0" fontId="21" fillId="0" borderId="23" xfId="16" applyFont="1" applyBorder="1" applyAlignment="1">
      <alignment horizontal="center" vertical="center" wrapText="1"/>
      <protection/>
    </xf>
    <xf numFmtId="10" fontId="21" fillId="0" borderId="44" xfId="16" applyNumberFormat="1" applyFont="1" applyBorder="1" applyAlignment="1">
      <alignment horizontal="center" vertical="center" wrapText="1"/>
      <protection/>
    </xf>
    <xf numFmtId="178" fontId="14" fillId="0" borderId="20" xfId="15" applyNumberFormat="1" applyFont="1" applyBorder="1" applyAlignment="1">
      <alignment horizontal="center" vertical="center"/>
      <protection/>
    </xf>
    <xf numFmtId="10" fontId="14" fillId="0" borderId="42" xfId="15" applyNumberFormat="1" applyFont="1" applyBorder="1" applyAlignment="1">
      <alignment horizontal="center" vertical="center"/>
      <protection/>
    </xf>
    <xf numFmtId="179" fontId="14" fillId="0" borderId="23" xfId="15" applyNumberFormat="1" applyFont="1" applyBorder="1" applyAlignment="1">
      <alignment horizontal="center" vertical="center"/>
      <protection/>
    </xf>
    <xf numFmtId="178" fontId="14" fillId="0" borderId="23" xfId="0" applyNumberFormat="1" applyFont="1" applyBorder="1" applyAlignment="1">
      <alignment horizontal="center" vertical="center" shrinkToFit="1"/>
    </xf>
    <xf numFmtId="10" fontId="14" fillId="0" borderId="20" xfId="15" applyNumberFormat="1" applyFont="1" applyBorder="1" applyAlignment="1">
      <alignment horizontal="center" vertical="center"/>
      <protection/>
    </xf>
    <xf numFmtId="179" fontId="14" fillId="37" borderId="23" xfId="15" applyNumberFormat="1" applyFont="1" applyFill="1" applyBorder="1" applyAlignment="1">
      <alignment horizontal="center" vertical="center"/>
      <protection/>
    </xf>
    <xf numFmtId="0" fontId="14" fillId="37" borderId="25" xfId="0" applyFont="1" applyFill="1" applyBorder="1" applyAlignment="1">
      <alignment horizontal="center" vertical="center"/>
    </xf>
    <xf numFmtId="10" fontId="14" fillId="37" borderId="42" xfId="15" applyNumberFormat="1" applyFont="1" applyFill="1" applyBorder="1" applyAlignment="1">
      <alignment horizontal="center" vertical="center"/>
      <protection/>
    </xf>
    <xf numFmtId="179" fontId="14" fillId="37" borderId="71" xfId="15" applyNumberFormat="1" applyFont="1" applyFill="1" applyBorder="1" applyAlignment="1">
      <alignment horizontal="center" vertical="center"/>
      <protection/>
    </xf>
    <xf numFmtId="0" fontId="14" fillId="37" borderId="64" xfId="0" applyFont="1" applyFill="1" applyBorder="1" applyAlignment="1">
      <alignment horizontal="center" vertical="center"/>
    </xf>
    <xf numFmtId="10" fontId="14" fillId="37" borderId="72" xfId="15" applyNumberFormat="1" applyFont="1" applyFill="1" applyBorder="1" applyAlignment="1">
      <alignment horizontal="center" vertical="center"/>
      <protection/>
    </xf>
    <xf numFmtId="178" fontId="14" fillId="0" borderId="71" xfId="0" applyNumberFormat="1" applyFont="1" applyBorder="1" applyAlignment="1">
      <alignment horizontal="center" vertical="center" shrinkToFit="1"/>
    </xf>
    <xf numFmtId="179" fontId="14" fillId="37" borderId="73" xfId="15" applyNumberFormat="1" applyFont="1" applyFill="1" applyBorder="1" applyAlignment="1">
      <alignment horizontal="center" vertical="center"/>
      <protection/>
    </xf>
    <xf numFmtId="0" fontId="14" fillId="37" borderId="66" xfId="0" applyFont="1" applyFill="1" applyBorder="1" applyAlignment="1">
      <alignment horizontal="center" vertical="center"/>
    </xf>
    <xf numFmtId="10" fontId="14" fillId="37" borderId="74" xfId="15" applyNumberFormat="1" applyFont="1" applyFill="1" applyBorder="1" applyAlignment="1">
      <alignment horizontal="center" vertical="center"/>
      <protection/>
    </xf>
    <xf numFmtId="10" fontId="14" fillId="0" borderId="75" xfId="15" applyNumberFormat="1" applyFont="1" applyBorder="1" applyAlignment="1">
      <alignment horizontal="center" vertical="center"/>
      <protection/>
    </xf>
    <xf numFmtId="10" fontId="14" fillId="0" borderId="52" xfId="15" applyNumberFormat="1" applyFont="1" applyBorder="1" applyAlignment="1">
      <alignment horizontal="center" vertical="center"/>
      <protection/>
    </xf>
    <xf numFmtId="10" fontId="14" fillId="0" borderId="41" xfId="15" applyNumberFormat="1" applyFont="1" applyBorder="1" applyAlignment="1">
      <alignment horizontal="center" vertical="center"/>
      <protection/>
    </xf>
    <xf numFmtId="0" fontId="14" fillId="0" borderId="52" xfId="16" applyFont="1" applyBorder="1" applyAlignment="1">
      <alignment horizontal="center" vertical="center"/>
      <protection/>
    </xf>
    <xf numFmtId="0" fontId="192" fillId="0" borderId="9" xfId="0" applyFont="1" applyBorder="1" applyAlignment="1">
      <alignment horizontal="center" vertical="center" wrapText="1"/>
    </xf>
    <xf numFmtId="0" fontId="208" fillId="0" borderId="50" xfId="16" applyFont="1" applyBorder="1" applyAlignment="1">
      <alignment horizontal="center" vertical="center" wrapText="1"/>
      <protection/>
    </xf>
    <xf numFmtId="0" fontId="208" fillId="0" borderId="15" xfId="16" applyFont="1" applyBorder="1" applyAlignment="1">
      <alignment horizontal="center" vertical="center" wrapText="1"/>
      <protection/>
    </xf>
    <xf numFmtId="0" fontId="21" fillId="0" borderId="25" xfId="16" applyFont="1" applyBorder="1" applyAlignment="1">
      <alignment horizontal="center" vertical="center" wrapText="1"/>
      <protection/>
    </xf>
    <xf numFmtId="9" fontId="21" fillId="0" borderId="23" xfId="16" applyNumberFormat="1" applyFont="1" applyBorder="1" applyAlignment="1">
      <alignment horizontal="center" vertical="center" wrapText="1"/>
      <protection/>
    </xf>
    <xf numFmtId="9" fontId="21" fillId="0" borderId="25" xfId="16" applyNumberFormat="1" applyFont="1" applyBorder="1" applyAlignment="1">
      <alignment horizontal="center" vertical="center" wrapText="1"/>
      <protection/>
    </xf>
    <xf numFmtId="178" fontId="14" fillId="0" borderId="21" xfId="15" applyNumberFormat="1" applyFont="1" applyBorder="1" applyAlignment="1">
      <alignment horizontal="center" vertical="center"/>
      <protection/>
    </xf>
    <xf numFmtId="178" fontId="14" fillId="0" borderId="23" xfId="15" applyNumberFormat="1" applyFont="1" applyBorder="1" applyAlignment="1">
      <alignment horizontal="center" vertical="center"/>
      <protection/>
    </xf>
    <xf numFmtId="178" fontId="14" fillId="0" borderId="25" xfId="15" applyNumberFormat="1" applyFont="1" applyBorder="1" applyAlignment="1">
      <alignment horizontal="center" vertical="center"/>
      <protection/>
    </xf>
    <xf numFmtId="178" fontId="14" fillId="0" borderId="25" xfId="0" applyNumberFormat="1" applyFont="1" applyBorder="1" applyAlignment="1">
      <alignment horizontal="center" vertical="center" shrinkToFit="1"/>
    </xf>
    <xf numFmtId="176" fontId="14" fillId="0" borderId="25" xfId="15" applyNumberFormat="1" applyFont="1" applyBorder="1" applyAlignment="1">
      <alignment horizontal="center" vertical="center"/>
      <protection/>
    </xf>
    <xf numFmtId="10" fontId="14" fillId="0" borderId="21" xfId="15" applyNumberFormat="1" applyFont="1" applyBorder="1" applyAlignment="1">
      <alignment horizontal="center" vertical="center"/>
      <protection/>
    </xf>
    <xf numFmtId="178" fontId="14" fillId="0" borderId="64" xfId="0" applyNumberFormat="1" applyFont="1" applyBorder="1" applyAlignment="1">
      <alignment horizontal="center" vertical="center" shrinkToFit="1"/>
    </xf>
    <xf numFmtId="10" fontId="14" fillId="0" borderId="72" xfId="15" applyNumberFormat="1" applyFont="1" applyBorder="1" applyAlignment="1">
      <alignment horizontal="center" vertical="center"/>
      <protection/>
    </xf>
    <xf numFmtId="179" fontId="14" fillId="0" borderId="71" xfId="15" applyNumberFormat="1" applyFont="1" applyBorder="1" applyAlignment="1">
      <alignment horizontal="center" vertical="center"/>
      <protection/>
    </xf>
    <xf numFmtId="176" fontId="14" fillId="0" borderId="64" xfId="15" applyNumberFormat="1" applyFont="1" applyBorder="1" applyAlignment="1">
      <alignment horizontal="center" vertical="center"/>
      <protection/>
    </xf>
    <xf numFmtId="10" fontId="14" fillId="0" borderId="66" xfId="15" applyNumberFormat="1" applyFont="1" applyBorder="1" applyAlignment="1">
      <alignment horizontal="center" vertical="center"/>
      <protection/>
    </xf>
    <xf numFmtId="10" fontId="14" fillId="0" borderId="76" xfId="15" applyNumberFormat="1" applyFont="1" applyBorder="1" applyAlignment="1">
      <alignment horizontal="center" vertical="center"/>
      <protection/>
    </xf>
    <xf numFmtId="0" fontId="14" fillId="0" borderId="40" xfId="16" applyFont="1" applyBorder="1" applyAlignment="1">
      <alignment horizontal="center" vertical="center"/>
      <protection/>
    </xf>
    <xf numFmtId="179" fontId="14" fillId="0" borderId="52" xfId="15" applyNumberFormat="1" applyFont="1" applyBorder="1" applyAlignment="1">
      <alignment horizontal="center" vertical="center"/>
      <protection/>
    </xf>
    <xf numFmtId="176" fontId="14" fillId="0" borderId="40" xfId="15" applyNumberFormat="1" applyFont="1" applyBorder="1" applyAlignment="1">
      <alignment horizontal="center" vertical="center"/>
      <protection/>
    </xf>
    <xf numFmtId="9" fontId="21" fillId="0" borderId="44" xfId="16" applyNumberFormat="1" applyFont="1" applyBorder="1" applyAlignment="1">
      <alignment horizontal="center" vertical="center"/>
      <protection/>
    </xf>
    <xf numFmtId="10" fontId="14" fillId="0" borderId="72" xfId="0" applyNumberFormat="1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3" fillId="0" borderId="0" xfId="16" applyFont="1" applyFill="1" applyAlignment="1">
      <alignment horizontal="left"/>
      <protection/>
    </xf>
    <xf numFmtId="0" fontId="110" fillId="0" borderId="0" xfId="16" applyFont="1" applyFill="1" applyAlignment="1">
      <alignment horizontal="center" vertical="center" wrapText="1"/>
      <protection/>
    </xf>
    <xf numFmtId="0" fontId="12" fillId="0" borderId="0" xfId="16" applyFont="1" applyFill="1" applyAlignment="1">
      <alignment horizontal="center" vertical="center" wrapText="1"/>
      <protection/>
    </xf>
    <xf numFmtId="0" fontId="11" fillId="0" borderId="0" xfId="16" applyFont="1" applyFill="1" applyAlignment="1">
      <alignment horizontal="center" vertical="center" wrapText="1"/>
      <protection/>
    </xf>
    <xf numFmtId="0" fontId="210" fillId="0" borderId="25" xfId="16" applyFont="1" applyFill="1" applyBorder="1" applyAlignment="1">
      <alignment horizontal="center" vertical="center"/>
      <protection/>
    </xf>
    <xf numFmtId="0" fontId="99" fillId="0" borderId="25" xfId="0" applyFont="1" applyFill="1" applyBorder="1" applyAlignment="1">
      <alignment horizontal="center" vertical="center" wrapText="1"/>
    </xf>
    <xf numFmtId="10" fontId="99" fillId="0" borderId="25" xfId="0" applyNumberFormat="1" applyFont="1" applyFill="1" applyBorder="1" applyAlignment="1">
      <alignment horizontal="center" vertical="center" wrapText="1"/>
    </xf>
    <xf numFmtId="178" fontId="99" fillId="0" borderId="25" xfId="0" applyNumberFormat="1" applyFont="1" applyFill="1" applyBorder="1" applyAlignment="1">
      <alignment horizontal="center" vertical="center" wrapText="1"/>
    </xf>
    <xf numFmtId="0" fontId="111" fillId="0" borderId="25" xfId="0" applyFont="1" applyFill="1" applyBorder="1" applyAlignment="1">
      <alignment horizontal="center" vertical="center" wrapText="1"/>
    </xf>
    <xf numFmtId="178" fontId="112" fillId="0" borderId="25" xfId="0" applyNumberFormat="1" applyFont="1" applyFill="1" applyBorder="1" applyAlignment="1">
      <alignment horizontal="center" vertical="center" wrapText="1"/>
    </xf>
    <xf numFmtId="10" fontId="112" fillId="0" borderId="25" xfId="0" applyNumberFormat="1" applyFont="1" applyFill="1" applyBorder="1" applyAlignment="1">
      <alignment horizontal="center" vertical="center" wrapText="1"/>
    </xf>
    <xf numFmtId="0" fontId="111" fillId="0" borderId="21" xfId="0" applyFont="1" applyFill="1" applyBorder="1" applyAlignment="1">
      <alignment horizontal="center" vertical="center" wrapText="1"/>
    </xf>
    <xf numFmtId="178" fontId="112" fillId="0" borderId="21" xfId="0" applyNumberFormat="1" applyFont="1" applyFill="1" applyBorder="1" applyAlignment="1">
      <alignment horizontal="center" vertical="center" wrapText="1"/>
    </xf>
    <xf numFmtId="10" fontId="112" fillId="0" borderId="21" xfId="0" applyNumberFormat="1" applyFont="1" applyFill="1" applyBorder="1" applyAlignment="1">
      <alignment horizontal="center" vertical="center" wrapText="1"/>
    </xf>
    <xf numFmtId="0" fontId="2" fillId="0" borderId="0" xfId="16" applyFont="1" applyFill="1" applyAlignment="1">
      <alignment horizontal="center" vertical="center"/>
      <protection/>
    </xf>
    <xf numFmtId="10" fontId="3" fillId="0" borderId="0" xfId="61" applyNumberFormat="1" applyFont="1" applyFill="1" applyBorder="1" applyAlignment="1" applyProtection="1">
      <alignment horizontal="left" vertical="center"/>
      <protection/>
    </xf>
    <xf numFmtId="0" fontId="66" fillId="0" borderId="0" xfId="16" applyFont="1" applyFill="1" applyAlignment="1">
      <alignment horizontal="left" vertical="center" wrapText="1"/>
      <protection/>
    </xf>
    <xf numFmtId="0" fontId="97" fillId="0" borderId="60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210" fillId="0" borderId="24" xfId="16" applyFont="1" applyFill="1" applyBorder="1" applyAlignment="1">
      <alignment horizontal="center" vertical="center"/>
      <protection/>
    </xf>
    <xf numFmtId="0" fontId="97" fillId="0" borderId="25" xfId="0" applyFont="1" applyFill="1" applyBorder="1" applyAlignment="1">
      <alignment horizontal="center" vertical="center" wrapText="1"/>
    </xf>
    <xf numFmtId="176" fontId="99" fillId="0" borderId="25" xfId="0" applyNumberFormat="1" applyFont="1" applyFill="1" applyBorder="1" applyAlignment="1">
      <alignment horizontal="center" vertical="center" wrapText="1"/>
    </xf>
    <xf numFmtId="10" fontId="99" fillId="0" borderId="25" xfId="61" applyNumberFormat="1" applyFont="1" applyFill="1" applyBorder="1" applyAlignment="1">
      <alignment horizontal="center" vertical="center" wrapText="1"/>
    </xf>
    <xf numFmtId="176" fontId="112" fillId="0" borderId="25" xfId="0" applyNumberFormat="1" applyFont="1" applyFill="1" applyBorder="1" applyAlignment="1">
      <alignment horizontal="center" vertical="center" wrapText="1"/>
    </xf>
    <xf numFmtId="9" fontId="112" fillId="0" borderId="25" xfId="61" applyNumberFormat="1" applyFont="1" applyFill="1" applyBorder="1" applyAlignment="1">
      <alignment horizontal="center" vertical="center" wrapText="1"/>
    </xf>
    <xf numFmtId="176" fontId="112" fillId="0" borderId="21" xfId="0" applyNumberFormat="1" applyFont="1" applyFill="1" applyBorder="1" applyAlignment="1">
      <alignment horizontal="center" vertical="center" wrapText="1"/>
    </xf>
    <xf numFmtId="0" fontId="97" fillId="35" borderId="58" xfId="0" applyFont="1" applyFill="1" applyBorder="1" applyAlignment="1">
      <alignment horizontal="center" vertical="center" wrapText="1"/>
    </xf>
    <xf numFmtId="0" fontId="97" fillId="35" borderId="46" xfId="0" applyFont="1" applyFill="1" applyBorder="1" applyAlignment="1">
      <alignment horizontal="center" vertical="center" wrapText="1"/>
    </xf>
    <xf numFmtId="0" fontId="109" fillId="0" borderId="2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9" fillId="35" borderId="63" xfId="0" applyFont="1" applyFill="1" applyBorder="1" applyAlignment="1">
      <alignment horizontal="center" vertical="center" wrapText="1"/>
    </xf>
    <xf numFmtId="176" fontId="99" fillId="35" borderId="25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6" fontId="99" fillId="35" borderId="25" xfId="61" applyNumberFormat="1" applyFont="1" applyFill="1" applyBorder="1" applyAlignment="1">
      <alignment horizontal="center" vertical="center" wrapText="1"/>
    </xf>
    <xf numFmtId="178" fontId="99" fillId="35" borderId="25" xfId="0" applyNumberFormat="1" applyFont="1" applyFill="1" applyBorder="1" applyAlignment="1">
      <alignment horizontal="center" vertical="center" wrapText="1"/>
    </xf>
    <xf numFmtId="10" fontId="99" fillId="35" borderId="25" xfId="0" applyNumberFormat="1" applyFont="1" applyFill="1" applyBorder="1" applyAlignment="1">
      <alignment horizontal="center" vertical="center" wrapText="1"/>
    </xf>
    <xf numFmtId="176" fontId="112" fillId="0" borderId="25" xfId="61" applyNumberFormat="1" applyFont="1" applyFill="1" applyBorder="1" applyAlignment="1">
      <alignment horizontal="center" vertical="center" wrapText="1"/>
    </xf>
    <xf numFmtId="0" fontId="81" fillId="0" borderId="25" xfId="16" applyFont="1" applyFill="1" applyBorder="1" applyAlignment="1">
      <alignment horizontal="center" vertical="center" wrapText="1"/>
      <protection/>
    </xf>
    <xf numFmtId="0" fontId="112" fillId="0" borderId="25" xfId="61" applyNumberFormat="1" applyFont="1" applyFill="1" applyBorder="1" applyAlignment="1" applyProtection="1">
      <alignment horizontal="center" vertical="center" wrapText="1"/>
      <protection/>
    </xf>
    <xf numFmtId="0" fontId="81" fillId="0" borderId="64" xfId="16" applyFont="1" applyFill="1" applyBorder="1" applyAlignment="1">
      <alignment horizontal="center" vertical="center" wrapText="1"/>
      <protection/>
    </xf>
    <xf numFmtId="0" fontId="67" fillId="0" borderId="21" xfId="16" applyFont="1" applyFill="1" applyBorder="1" applyAlignment="1">
      <alignment horizontal="center" vertical="center" wrapText="1"/>
      <protection/>
    </xf>
    <xf numFmtId="0" fontId="3" fillId="0" borderId="25" xfId="16" applyFont="1" applyFill="1" applyBorder="1" applyAlignment="1">
      <alignment horizontal="left"/>
      <protection/>
    </xf>
    <xf numFmtId="0" fontId="113" fillId="0" borderId="0" xfId="16" applyFont="1" applyFill="1" applyAlignment="1">
      <alignment horizontal="center" vertical="center" wrapText="1"/>
      <protection/>
    </xf>
    <xf numFmtId="0" fontId="10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0" fontId="26" fillId="0" borderId="0" xfId="61" applyNumberFormat="1" applyFont="1" applyFill="1" applyBorder="1" applyAlignment="1" applyProtection="1">
      <alignment horizontal="center" vertical="center" wrapText="1"/>
      <protection/>
    </xf>
    <xf numFmtId="178" fontId="15" fillId="0" borderId="0" xfId="0" applyNumberFormat="1" applyFont="1" applyFill="1" applyBorder="1" applyAlignment="1">
      <alignment horizontal="center" vertical="center" wrapText="1"/>
    </xf>
    <xf numFmtId="0" fontId="81" fillId="0" borderId="0" xfId="16" applyFont="1" applyFill="1" applyAlignment="1">
      <alignment horizontal="center" vertical="center" wrapText="1"/>
      <protection/>
    </xf>
    <xf numFmtId="0" fontId="81" fillId="0" borderId="0" xfId="16" applyFont="1" applyFill="1" applyBorder="1" applyAlignment="1">
      <alignment horizontal="center" vertical="center" wrapText="1"/>
      <protection/>
    </xf>
    <xf numFmtId="0" fontId="67" fillId="0" borderId="0" xfId="16" applyFont="1" applyFill="1" applyAlignment="1">
      <alignment horizontal="center" vertical="center" wrapText="1"/>
      <protection/>
    </xf>
    <xf numFmtId="0" fontId="20" fillId="0" borderId="0" xfId="61" applyNumberFormat="1" applyFont="1" applyFill="1" applyBorder="1" applyAlignment="1" applyProtection="1">
      <alignment horizontal="center" vertical="center" wrapText="1"/>
      <protection/>
    </xf>
    <xf numFmtId="10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4" fillId="0" borderId="0" xfId="16" applyFont="1" applyFill="1" applyAlignment="1">
      <alignment horizontal="center" vertical="center" wrapText="1"/>
      <protection/>
    </xf>
    <xf numFmtId="0" fontId="4" fillId="35" borderId="0" xfId="16" applyFont="1" applyFill="1" applyAlignment="1">
      <alignment horizontal="center" vertical="center" wrapText="1"/>
      <protection/>
    </xf>
  </cellXfs>
  <cellStyles count="56">
    <cellStyle name="Normal" xfId="0"/>
    <cellStyle name="常规_Sheet1" xfId="15"/>
    <cellStyle name="常规_6.17住房保障工作进度月报" xfId="16"/>
    <cellStyle name="常规 5" xfId="17"/>
    <cellStyle name="常规 2" xfId="18"/>
    <cellStyle name="常规 15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C46"/>
  <sheetViews>
    <sheetView zoomScale="53" zoomScaleNormal="53" zoomScaleSheetLayoutView="40" workbookViewId="0" topLeftCell="A1">
      <selection activeCell="A4" sqref="A4:K4"/>
    </sheetView>
  </sheetViews>
  <sheetFormatPr defaultColWidth="9.7109375" defaultRowHeight="15"/>
  <cols>
    <col min="1" max="1" width="23.00390625" style="9" customWidth="1"/>
    <col min="2" max="2" width="19.140625" style="22" customWidth="1"/>
    <col min="3" max="3" width="18.57421875" style="9" customWidth="1"/>
    <col min="4" max="4" width="19.28125" style="22" customWidth="1"/>
    <col min="5" max="5" width="14.7109375" style="22" hidden="1" customWidth="1"/>
    <col min="6" max="6" width="16.421875" style="22" customWidth="1"/>
    <col min="7" max="7" width="15.8515625" style="22" customWidth="1"/>
    <col min="8" max="8" width="16.57421875" style="22" customWidth="1"/>
    <col min="9" max="9" width="17.421875" style="22" customWidth="1"/>
    <col min="10" max="10" width="16.421875" style="22" customWidth="1"/>
    <col min="11" max="11" width="19.7109375" style="22" customWidth="1"/>
    <col min="12" max="13" width="20.00390625" style="9" hidden="1" customWidth="1"/>
    <col min="14" max="14" width="37.421875" style="9" hidden="1" customWidth="1"/>
    <col min="15" max="15" width="13.8515625" style="9" hidden="1" customWidth="1"/>
    <col min="16" max="16" width="13.57421875" style="9" customWidth="1"/>
    <col min="17" max="17" width="12.00390625" style="9" customWidth="1"/>
    <col min="18" max="18" width="12.7109375" style="9" hidden="1" customWidth="1"/>
    <col min="19" max="27" width="9.7109375" style="9" hidden="1" customWidth="1"/>
    <col min="28" max="28" width="9.7109375" style="9" customWidth="1"/>
    <col min="29" max="29" width="12.57421875" style="9" bestFit="1" customWidth="1"/>
    <col min="30" max="34" width="9.7109375" style="9" customWidth="1"/>
    <col min="35" max="35" width="11.140625" style="9" bestFit="1" customWidth="1"/>
    <col min="36" max="183" width="9.7109375" style="9" customWidth="1"/>
    <col min="184" max="214" width="10.00390625" style="9" bestFit="1" customWidth="1"/>
    <col min="215" max="16384" width="9.7109375" style="9" customWidth="1"/>
  </cols>
  <sheetData>
    <row r="1" spans="1:3" s="22" customFormat="1" ht="43.5" customHeight="1">
      <c r="A1" s="832" t="s">
        <v>0</v>
      </c>
      <c r="C1" s="9"/>
    </row>
    <row r="2" spans="1:3" s="22" customFormat="1" ht="33.75" customHeight="1">
      <c r="A2" s="21"/>
      <c r="C2" s="9"/>
    </row>
    <row r="3" spans="1:13" s="231" customFormat="1" ht="96" customHeight="1">
      <c r="A3" s="833" t="s">
        <v>1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74"/>
    </row>
    <row r="4" spans="1:13" s="231" customFormat="1" ht="42" customHeight="1">
      <c r="A4" s="834" t="s">
        <v>2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5"/>
    </row>
    <row r="5" spans="1:13" s="231" customFormat="1" ht="24" customHeight="1">
      <c r="A5" s="835"/>
      <c r="B5" s="835"/>
      <c r="C5" s="835"/>
      <c r="D5" s="835"/>
      <c r="E5" s="835"/>
      <c r="F5" s="835"/>
      <c r="G5" s="835"/>
      <c r="H5" s="835"/>
      <c r="I5" s="835"/>
      <c r="J5" s="835"/>
      <c r="K5" s="835"/>
      <c r="L5" s="835"/>
      <c r="M5" s="835"/>
    </row>
    <row r="6" spans="1:13" s="231" customFormat="1" ht="54" customHeight="1">
      <c r="A6" s="566" t="s">
        <v>3</v>
      </c>
      <c r="B6" s="836" t="s">
        <v>4</v>
      </c>
      <c r="C6" s="836"/>
      <c r="D6" s="836"/>
      <c r="E6" s="836"/>
      <c r="F6" s="849" t="s">
        <v>5</v>
      </c>
      <c r="G6" s="850"/>
      <c r="H6" s="850"/>
      <c r="I6" s="571" t="s">
        <v>6</v>
      </c>
      <c r="J6" s="858"/>
      <c r="K6" s="859"/>
      <c r="L6" s="860" t="s">
        <v>7</v>
      </c>
      <c r="M6" s="875"/>
    </row>
    <row r="7" spans="1:13" s="231" customFormat="1" ht="39.75" customHeight="1">
      <c r="A7" s="568"/>
      <c r="B7" s="566" t="s">
        <v>8</v>
      </c>
      <c r="C7" s="566" t="s">
        <v>9</v>
      </c>
      <c r="D7" s="566" t="s">
        <v>10</v>
      </c>
      <c r="E7" s="851"/>
      <c r="F7" s="852" t="s">
        <v>8</v>
      </c>
      <c r="G7" s="852" t="s">
        <v>9</v>
      </c>
      <c r="H7" s="852" t="s">
        <v>11</v>
      </c>
      <c r="I7" s="567" t="s">
        <v>12</v>
      </c>
      <c r="J7" s="567" t="s">
        <v>13</v>
      </c>
      <c r="K7" s="567" t="s">
        <v>11</v>
      </c>
      <c r="L7" s="860"/>
      <c r="M7" s="875"/>
    </row>
    <row r="8" spans="1:13" s="231" customFormat="1" ht="75.75" customHeight="1">
      <c r="A8" s="573"/>
      <c r="B8" s="568"/>
      <c r="C8" s="568"/>
      <c r="D8" s="568"/>
      <c r="E8" s="566" t="s">
        <v>14</v>
      </c>
      <c r="F8" s="852"/>
      <c r="G8" s="852"/>
      <c r="H8" s="852"/>
      <c r="I8" s="567"/>
      <c r="J8" s="567"/>
      <c r="K8" s="567"/>
      <c r="L8" s="861"/>
      <c r="M8" s="876"/>
    </row>
    <row r="9" spans="1:13" s="146" customFormat="1" ht="12.75" customHeight="1" hidden="1">
      <c r="A9" s="566"/>
      <c r="B9" s="573"/>
      <c r="C9" s="573"/>
      <c r="D9" s="573"/>
      <c r="E9" s="573"/>
      <c r="F9" s="852"/>
      <c r="G9" s="852"/>
      <c r="H9" s="852"/>
      <c r="I9" s="862"/>
      <c r="J9" s="567"/>
      <c r="K9" s="567"/>
      <c r="L9" s="861"/>
      <c r="M9" s="876"/>
    </row>
    <row r="10" spans="1:13" s="146" customFormat="1" ht="40.5" customHeight="1">
      <c r="A10" s="577" t="s">
        <v>15</v>
      </c>
      <c r="B10" s="837">
        <v>1</v>
      </c>
      <c r="C10" s="837">
        <v>2</v>
      </c>
      <c r="D10" s="837" t="s">
        <v>16</v>
      </c>
      <c r="E10" s="853">
        <v>4</v>
      </c>
      <c r="F10" s="853">
        <v>4</v>
      </c>
      <c r="G10" s="853">
        <v>5</v>
      </c>
      <c r="H10" s="853" t="s">
        <v>17</v>
      </c>
      <c r="I10" s="863">
        <v>7</v>
      </c>
      <c r="J10" s="863">
        <v>8</v>
      </c>
      <c r="K10" s="578" t="s">
        <v>18</v>
      </c>
      <c r="L10" s="864">
        <v>7</v>
      </c>
      <c r="M10" s="877"/>
    </row>
    <row r="11" spans="1:13" s="146" customFormat="1" ht="57" customHeight="1" hidden="1">
      <c r="A11" s="577" t="s">
        <v>19</v>
      </c>
      <c r="B11" s="837">
        <v>44047</v>
      </c>
      <c r="C11" s="837">
        <f>SUM(C13:C28)</f>
        <v>1258</v>
      </c>
      <c r="D11" s="838">
        <f>C11/B11</f>
        <v>0.028560401389424932</v>
      </c>
      <c r="E11" s="853"/>
      <c r="F11" s="853">
        <f>F12+F14+F16</f>
        <v>409</v>
      </c>
      <c r="G11" s="853">
        <f>G12+G14+G16</f>
        <v>268</v>
      </c>
      <c r="H11" s="854">
        <f>G11/F11</f>
        <v>0.6552567237163814</v>
      </c>
      <c r="I11" s="865">
        <f>J11+K11</f>
        <v>13930</v>
      </c>
      <c r="J11" s="863">
        <v>13539</v>
      </c>
      <c r="K11" s="863">
        <v>391</v>
      </c>
      <c r="L11" s="864"/>
      <c r="M11" s="877"/>
    </row>
    <row r="12" spans="1:29" s="146" customFormat="1" ht="64.5" customHeight="1">
      <c r="A12" s="577" t="s">
        <v>20</v>
      </c>
      <c r="B12" s="839">
        <f aca="true" t="shared" si="0" ref="B12:G12">SUM(B13:B28)</f>
        <v>2230</v>
      </c>
      <c r="C12" s="839">
        <f t="shared" si="0"/>
        <v>1258</v>
      </c>
      <c r="D12" s="838">
        <f aca="true" t="shared" si="1" ref="D12:D18">C12/B12</f>
        <v>0.5641255605381166</v>
      </c>
      <c r="E12" s="853" t="s">
        <v>21</v>
      </c>
      <c r="F12" s="839">
        <f>SUM(F13:F28)</f>
        <v>409</v>
      </c>
      <c r="G12" s="839">
        <f t="shared" si="0"/>
        <v>268</v>
      </c>
      <c r="H12" s="854">
        <f>G12/F12</f>
        <v>0.6552567237163814</v>
      </c>
      <c r="I12" s="866">
        <f>SUM(I13:I28)</f>
        <v>62000</v>
      </c>
      <c r="J12" s="866">
        <f>SUM(J13:J28)</f>
        <v>27706</v>
      </c>
      <c r="K12" s="867">
        <f>J12/I12</f>
        <v>0.44687096774193547</v>
      </c>
      <c r="L12" s="243"/>
      <c r="M12" s="241">
        <f>I12+F12+B12</f>
        <v>64639</v>
      </c>
      <c r="N12" s="242">
        <f>J12+G12+C12</f>
        <v>29232</v>
      </c>
      <c r="O12" s="878">
        <f>N12/M12</f>
        <v>0.45223471897770695</v>
      </c>
      <c r="P12" s="879"/>
      <c r="Q12" s="883"/>
      <c r="AC12" s="884"/>
    </row>
    <row r="13" spans="1:29" s="6" customFormat="1" ht="51.75" customHeight="1">
      <c r="A13" s="840" t="s">
        <v>22</v>
      </c>
      <c r="B13" s="841">
        <v>683</v>
      </c>
      <c r="C13" s="841">
        <v>52</v>
      </c>
      <c r="D13" s="842">
        <f t="shared" si="1"/>
        <v>0.07613469985358712</v>
      </c>
      <c r="E13" s="855">
        <v>2</v>
      </c>
      <c r="F13" s="855"/>
      <c r="G13" s="855"/>
      <c r="H13" s="856"/>
      <c r="I13" s="868">
        <v>16000</v>
      </c>
      <c r="J13" s="868">
        <v>6299</v>
      </c>
      <c r="K13" s="842">
        <f aca="true" t="shared" si="2" ref="K13:K19">J13/I13</f>
        <v>0.3936875</v>
      </c>
      <c r="L13" s="869"/>
      <c r="M13" s="880"/>
      <c r="O13" s="209"/>
      <c r="P13" s="881"/>
      <c r="Q13" s="221"/>
      <c r="AC13" s="885"/>
    </row>
    <row r="14" spans="1:29" s="6" customFormat="1" ht="51.75" customHeight="1">
      <c r="A14" s="840" t="s">
        <v>23</v>
      </c>
      <c r="B14" s="841">
        <v>467</v>
      </c>
      <c r="C14" s="841">
        <v>467</v>
      </c>
      <c r="D14" s="842">
        <f t="shared" si="1"/>
        <v>1</v>
      </c>
      <c r="E14" s="855">
        <v>1</v>
      </c>
      <c r="F14" s="855"/>
      <c r="G14" s="855"/>
      <c r="H14" s="855"/>
      <c r="I14" s="855">
        <v>3000</v>
      </c>
      <c r="J14" s="868">
        <v>733</v>
      </c>
      <c r="K14" s="842">
        <f t="shared" si="2"/>
        <v>0.24433333333333335</v>
      </c>
      <c r="L14" s="869"/>
      <c r="M14" s="880"/>
      <c r="O14" s="225"/>
      <c r="P14" s="881"/>
      <c r="Q14" s="221"/>
      <c r="AC14" s="885"/>
    </row>
    <row r="15" spans="1:29" s="6" customFormat="1" ht="51.75" customHeight="1">
      <c r="A15" s="840" t="s">
        <v>24</v>
      </c>
      <c r="B15" s="841">
        <v>610</v>
      </c>
      <c r="C15" s="841">
        <v>269</v>
      </c>
      <c r="D15" s="842">
        <f t="shared" si="1"/>
        <v>0.44098360655737706</v>
      </c>
      <c r="E15" s="855">
        <v>7</v>
      </c>
      <c r="F15" s="855">
        <v>409</v>
      </c>
      <c r="G15" s="855">
        <v>268</v>
      </c>
      <c r="H15" s="854">
        <f>G15/F15</f>
        <v>0.6552567237163814</v>
      </c>
      <c r="I15" s="868">
        <v>14000</v>
      </c>
      <c r="J15" s="868">
        <v>4273</v>
      </c>
      <c r="K15" s="842">
        <f aca="true" t="shared" si="3" ref="K15:K27">J15/I15</f>
        <v>0.3052142857142857</v>
      </c>
      <c r="L15" s="869"/>
      <c r="M15" s="880"/>
      <c r="O15" s="224"/>
      <c r="P15" s="881"/>
      <c r="Q15" s="223"/>
      <c r="AC15" s="886"/>
    </row>
    <row r="16" spans="1:17" s="6" customFormat="1" ht="51.75" customHeight="1">
      <c r="A16" s="840" t="s">
        <v>25</v>
      </c>
      <c r="B16" s="841"/>
      <c r="C16" s="841"/>
      <c r="D16" s="842"/>
      <c r="E16" s="855"/>
      <c r="F16" s="855"/>
      <c r="G16" s="855"/>
      <c r="H16" s="855"/>
      <c r="I16" s="855">
        <v>1375</v>
      </c>
      <c r="J16" s="868">
        <v>700</v>
      </c>
      <c r="K16" s="842">
        <f t="shared" si="3"/>
        <v>0.509090909090909</v>
      </c>
      <c r="L16" s="869"/>
      <c r="M16" s="880"/>
      <c r="P16" s="881"/>
      <c r="Q16" s="221"/>
    </row>
    <row r="17" spans="1:17" s="6" customFormat="1" ht="51.75" customHeight="1">
      <c r="A17" s="840" t="s">
        <v>26</v>
      </c>
      <c r="B17" s="841"/>
      <c r="C17" s="841"/>
      <c r="D17" s="842"/>
      <c r="E17" s="855">
        <v>3</v>
      </c>
      <c r="F17" s="855"/>
      <c r="G17" s="855"/>
      <c r="H17" s="854"/>
      <c r="I17" s="870">
        <v>1878</v>
      </c>
      <c r="J17" s="868">
        <v>1245</v>
      </c>
      <c r="K17" s="842">
        <f t="shared" si="3"/>
        <v>0.6629392971246006</v>
      </c>
      <c r="L17" s="869"/>
      <c r="M17" s="880"/>
      <c r="P17" s="881"/>
      <c r="Q17" s="221"/>
    </row>
    <row r="18" spans="1:17" s="6" customFormat="1" ht="51.75" customHeight="1">
      <c r="A18" s="840" t="s">
        <v>27</v>
      </c>
      <c r="B18" s="841">
        <v>116</v>
      </c>
      <c r="C18" s="841">
        <v>116</v>
      </c>
      <c r="D18" s="842">
        <f t="shared" si="1"/>
        <v>1</v>
      </c>
      <c r="E18" s="855" t="s">
        <v>21</v>
      </c>
      <c r="F18" s="855"/>
      <c r="G18" s="855"/>
      <c r="H18" s="855"/>
      <c r="I18" s="855">
        <v>1851</v>
      </c>
      <c r="J18" s="868">
        <v>296</v>
      </c>
      <c r="K18" s="842">
        <f t="shared" si="2"/>
        <v>0.15991356023770933</v>
      </c>
      <c r="L18" s="869"/>
      <c r="M18" s="880"/>
      <c r="P18" s="881"/>
      <c r="Q18" s="221"/>
    </row>
    <row r="19" spans="1:17" s="6" customFormat="1" ht="51.75" customHeight="1">
      <c r="A19" s="840" t="s">
        <v>28</v>
      </c>
      <c r="B19" s="841"/>
      <c r="C19" s="841"/>
      <c r="D19" s="842"/>
      <c r="E19" s="855"/>
      <c r="F19" s="855"/>
      <c r="G19" s="855"/>
      <c r="H19" s="855"/>
      <c r="I19" s="855">
        <v>4353</v>
      </c>
      <c r="J19" s="868">
        <v>1761</v>
      </c>
      <c r="K19" s="842">
        <f t="shared" si="2"/>
        <v>0.4045485871812543</v>
      </c>
      <c r="L19" s="869"/>
      <c r="M19" s="880"/>
      <c r="P19" s="881"/>
      <c r="Q19" s="221"/>
    </row>
    <row r="20" spans="1:17" s="7" customFormat="1" ht="51.75" customHeight="1">
      <c r="A20" s="840" t="s">
        <v>29</v>
      </c>
      <c r="B20" s="841"/>
      <c r="C20" s="841"/>
      <c r="D20" s="842"/>
      <c r="E20" s="855">
        <v>5</v>
      </c>
      <c r="F20" s="855"/>
      <c r="G20" s="855"/>
      <c r="H20" s="855"/>
      <c r="I20" s="855">
        <v>6692</v>
      </c>
      <c r="J20" s="868">
        <v>5913</v>
      </c>
      <c r="K20" s="842">
        <f t="shared" si="3"/>
        <v>0.8835923490735206</v>
      </c>
      <c r="L20" s="869"/>
      <c r="M20" s="880"/>
      <c r="N20" s="6"/>
      <c r="P20" s="881"/>
      <c r="Q20" s="229"/>
    </row>
    <row r="21" spans="1:17" s="6" customFormat="1" ht="51.75" customHeight="1">
      <c r="A21" s="840" t="s">
        <v>30</v>
      </c>
      <c r="B21" s="841">
        <v>128</v>
      </c>
      <c r="C21" s="841">
        <v>128</v>
      </c>
      <c r="D21" s="842">
        <f>C21/B21</f>
        <v>1</v>
      </c>
      <c r="E21" s="855">
        <v>6</v>
      </c>
      <c r="F21" s="855"/>
      <c r="G21" s="855"/>
      <c r="H21" s="855"/>
      <c r="I21" s="855">
        <v>2195</v>
      </c>
      <c r="J21" s="855">
        <v>805</v>
      </c>
      <c r="K21" s="842">
        <f t="shared" si="3"/>
        <v>0.36674259681093396</v>
      </c>
      <c r="L21" s="869"/>
      <c r="M21" s="880"/>
      <c r="P21" s="881"/>
      <c r="Q21" s="221"/>
    </row>
    <row r="22" spans="1:17" s="6" customFormat="1" ht="51.75" customHeight="1">
      <c r="A22" s="840" t="s">
        <v>31</v>
      </c>
      <c r="B22" s="841"/>
      <c r="C22" s="841"/>
      <c r="D22" s="842"/>
      <c r="E22" s="855" t="s">
        <v>21</v>
      </c>
      <c r="F22" s="855"/>
      <c r="G22" s="855"/>
      <c r="H22" s="855"/>
      <c r="I22" s="855">
        <v>1460</v>
      </c>
      <c r="J22" s="855">
        <v>1093</v>
      </c>
      <c r="K22" s="842">
        <f t="shared" si="3"/>
        <v>0.7486301369863013</v>
      </c>
      <c r="L22" s="869"/>
      <c r="M22" s="880"/>
      <c r="P22" s="881"/>
      <c r="Q22" s="221"/>
    </row>
    <row r="23" spans="1:17" s="6" customFormat="1" ht="51.75" customHeight="1">
      <c r="A23" s="840" t="s">
        <v>32</v>
      </c>
      <c r="B23" s="841"/>
      <c r="C23" s="841"/>
      <c r="D23" s="842"/>
      <c r="E23" s="855">
        <v>8</v>
      </c>
      <c r="F23" s="855"/>
      <c r="G23" s="855"/>
      <c r="H23" s="855"/>
      <c r="I23" s="855">
        <v>1450</v>
      </c>
      <c r="J23" s="855">
        <v>1846</v>
      </c>
      <c r="K23" s="842">
        <f t="shared" si="3"/>
        <v>1.273103448275862</v>
      </c>
      <c r="L23" s="869"/>
      <c r="M23" s="880"/>
      <c r="P23" s="881"/>
      <c r="Q23" s="221"/>
    </row>
    <row r="24" spans="1:17" s="6" customFormat="1" ht="51.75" customHeight="1">
      <c r="A24" s="840" t="s">
        <v>33</v>
      </c>
      <c r="B24" s="841">
        <v>226</v>
      </c>
      <c r="C24" s="841">
        <v>226</v>
      </c>
      <c r="D24" s="842">
        <f>C24/B24</f>
        <v>1</v>
      </c>
      <c r="E24" s="855" t="s">
        <v>21</v>
      </c>
      <c r="F24" s="855"/>
      <c r="G24" s="855"/>
      <c r="H24" s="855"/>
      <c r="I24" s="855">
        <v>2790</v>
      </c>
      <c r="J24" s="855">
        <v>96</v>
      </c>
      <c r="K24" s="842">
        <f t="shared" si="3"/>
        <v>0.034408602150537634</v>
      </c>
      <c r="L24" s="869"/>
      <c r="M24" s="880"/>
      <c r="P24" s="881"/>
      <c r="Q24" s="221"/>
    </row>
    <row r="25" spans="1:17" s="6" customFormat="1" ht="51.75" customHeight="1">
      <c r="A25" s="840" t="s">
        <v>34</v>
      </c>
      <c r="B25" s="841"/>
      <c r="C25" s="841"/>
      <c r="D25" s="842"/>
      <c r="E25" s="855"/>
      <c r="F25" s="855"/>
      <c r="G25" s="855"/>
      <c r="H25" s="855"/>
      <c r="I25" s="855">
        <v>1589</v>
      </c>
      <c r="J25" s="855">
        <v>644</v>
      </c>
      <c r="K25" s="842">
        <f t="shared" si="3"/>
        <v>0.4052863436123348</v>
      </c>
      <c r="L25" s="869"/>
      <c r="M25" s="880"/>
      <c r="P25" s="881"/>
      <c r="Q25" s="221"/>
    </row>
    <row r="26" spans="1:17" s="6" customFormat="1" ht="51.75" customHeight="1">
      <c r="A26" s="840" t="s">
        <v>35</v>
      </c>
      <c r="B26" s="841"/>
      <c r="C26" s="841"/>
      <c r="D26" s="842"/>
      <c r="E26" s="855">
        <v>4</v>
      </c>
      <c r="F26" s="855"/>
      <c r="G26" s="855"/>
      <c r="H26" s="855"/>
      <c r="I26" s="855">
        <v>1631</v>
      </c>
      <c r="J26" s="855">
        <v>1102</v>
      </c>
      <c r="K26" s="842">
        <f t="shared" si="3"/>
        <v>0.6756591048436542</v>
      </c>
      <c r="L26" s="871"/>
      <c r="M26" s="880"/>
      <c r="P26" s="881"/>
      <c r="Q26" s="221"/>
    </row>
    <row r="27" spans="1:17" s="6" customFormat="1" ht="66" customHeight="1">
      <c r="A27" s="843" t="s">
        <v>36</v>
      </c>
      <c r="B27" s="844"/>
      <c r="C27" s="844"/>
      <c r="D27" s="845"/>
      <c r="E27" s="857"/>
      <c r="F27" s="857"/>
      <c r="G27" s="857"/>
      <c r="H27" s="857"/>
      <c r="I27" s="857">
        <v>1736</v>
      </c>
      <c r="J27" s="857">
        <v>900</v>
      </c>
      <c r="K27" s="842">
        <f t="shared" si="3"/>
        <v>0.5184331797235023</v>
      </c>
      <c r="L27" s="872"/>
      <c r="M27" s="882"/>
      <c r="P27" s="223"/>
      <c r="Q27" s="221"/>
    </row>
    <row r="28" spans="1:12" ht="69" customHeight="1" hidden="1">
      <c r="A28" s="843" t="s">
        <v>37</v>
      </c>
      <c r="B28" s="844">
        <v>0</v>
      </c>
      <c r="C28" s="844">
        <v>0</v>
      </c>
      <c r="D28" s="842"/>
      <c r="E28" s="853"/>
      <c r="F28" s="853"/>
      <c r="G28" s="853"/>
      <c r="H28" s="853"/>
      <c r="I28" s="853"/>
      <c r="J28" s="853"/>
      <c r="K28" s="853"/>
      <c r="L28" s="873"/>
    </row>
    <row r="29" spans="1:11" s="160" customFormat="1" ht="15.75">
      <c r="A29" s="9"/>
      <c r="B29" s="846"/>
      <c r="C29" s="847"/>
      <c r="D29" s="233"/>
      <c r="E29" s="233"/>
      <c r="F29" s="233"/>
      <c r="G29" s="233"/>
      <c r="H29" s="233"/>
      <c r="I29" s="233"/>
      <c r="J29" s="233"/>
      <c r="K29" s="233"/>
    </row>
    <row r="30" spans="1:13" s="160" customFormat="1" ht="67.5" customHeight="1" hidden="1">
      <c r="A30" s="848" t="s">
        <v>38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</row>
    <row r="31" spans="1:11" s="160" customFormat="1" ht="15.75">
      <c r="A31" s="9"/>
      <c r="B31" s="233"/>
      <c r="C31" s="105"/>
      <c r="D31" s="233"/>
      <c r="E31" s="236"/>
      <c r="F31" s="236"/>
      <c r="G31" s="236"/>
      <c r="H31" s="236"/>
      <c r="I31" s="236"/>
      <c r="J31" s="236"/>
      <c r="K31" s="236"/>
    </row>
    <row r="32" spans="1:11" s="160" customFormat="1" ht="15.75">
      <c r="A32" s="9"/>
      <c r="B32" s="233"/>
      <c r="C32" s="105"/>
      <c r="D32" s="233"/>
      <c r="E32" s="236"/>
      <c r="F32" s="236"/>
      <c r="G32" s="236"/>
      <c r="H32" s="236"/>
      <c r="I32" s="236"/>
      <c r="J32" s="236"/>
      <c r="K32" s="236"/>
    </row>
    <row r="33" spans="1:11" s="160" customFormat="1" ht="15.75">
      <c r="A33" s="9"/>
      <c r="B33" s="233"/>
      <c r="C33" s="105"/>
      <c r="D33" s="233"/>
      <c r="E33" s="236"/>
      <c r="F33" s="236"/>
      <c r="G33" s="236"/>
      <c r="H33" s="236"/>
      <c r="I33" s="236"/>
      <c r="J33" s="236"/>
      <c r="K33" s="236"/>
    </row>
    <row r="34" spans="1:11" s="160" customFormat="1" ht="15.75">
      <c r="A34" s="9"/>
      <c r="B34" s="233"/>
      <c r="C34" s="105"/>
      <c r="D34" s="233"/>
      <c r="E34" s="233"/>
      <c r="F34" s="233"/>
      <c r="G34" s="233"/>
      <c r="H34" s="233"/>
      <c r="I34" s="233"/>
      <c r="J34" s="233"/>
      <c r="K34" s="233"/>
    </row>
    <row r="35" spans="1:11" s="160" customFormat="1" ht="15.75">
      <c r="A35" s="9"/>
      <c r="B35" s="233"/>
      <c r="C35" s="105"/>
      <c r="D35" s="233"/>
      <c r="E35" s="233"/>
      <c r="F35" s="233"/>
      <c r="G35" s="233"/>
      <c r="H35" s="233"/>
      <c r="I35" s="233"/>
      <c r="J35" s="233"/>
      <c r="K35" s="233"/>
    </row>
    <row r="36" spans="1:11" s="160" customFormat="1" ht="15.75">
      <c r="A36" s="9"/>
      <c r="B36" s="22"/>
      <c r="C36" s="9"/>
      <c r="D36" s="22"/>
      <c r="E36" s="22"/>
      <c r="F36" s="22"/>
      <c r="G36" s="22"/>
      <c r="H36" s="22"/>
      <c r="I36" s="22"/>
      <c r="J36" s="22"/>
      <c r="K36" s="22"/>
    </row>
    <row r="37" spans="1:11" s="160" customFormat="1" ht="15.75">
      <c r="A37" s="9"/>
      <c r="B37" s="22"/>
      <c r="C37" s="9"/>
      <c r="D37" s="22"/>
      <c r="E37" s="22"/>
      <c r="F37" s="22"/>
      <c r="G37" s="22"/>
      <c r="H37" s="22"/>
      <c r="I37" s="22"/>
      <c r="J37" s="22"/>
      <c r="K37" s="22"/>
    </row>
    <row r="38" spans="1:11" s="160" customFormat="1" ht="15.75">
      <c r="A38" s="9"/>
      <c r="B38" s="22"/>
      <c r="C38" s="9"/>
      <c r="D38" s="22"/>
      <c r="E38" s="22"/>
      <c r="F38" s="22"/>
      <c r="G38" s="22"/>
      <c r="H38" s="22"/>
      <c r="I38" s="22"/>
      <c r="J38" s="22"/>
      <c r="K38" s="22"/>
    </row>
    <row r="39" spans="1:11" s="160" customFormat="1" ht="15.75">
      <c r="A39" s="9"/>
      <c r="B39" s="22"/>
      <c r="C39" s="9"/>
      <c r="D39" s="22"/>
      <c r="E39" s="22"/>
      <c r="F39" s="22"/>
      <c r="G39" s="22"/>
      <c r="H39" s="22"/>
      <c r="I39" s="22"/>
      <c r="J39" s="22"/>
      <c r="K39" s="22"/>
    </row>
    <row r="40" spans="1:11" s="160" customFormat="1" ht="15.75">
      <c r="A40" s="9"/>
      <c r="B40" s="22"/>
      <c r="C40" s="9"/>
      <c r="D40" s="22"/>
      <c r="E40" s="22"/>
      <c r="F40" s="22"/>
      <c r="G40" s="22"/>
      <c r="H40" s="22"/>
      <c r="I40" s="22"/>
      <c r="J40" s="22"/>
      <c r="K40" s="22"/>
    </row>
    <row r="41" spans="1:11" s="160" customFormat="1" ht="15.75">
      <c r="A41" s="9"/>
      <c r="B41" s="22"/>
      <c r="C41" s="9"/>
      <c r="D41" s="22"/>
      <c r="E41" s="22"/>
      <c r="F41" s="22"/>
      <c r="G41" s="22"/>
      <c r="H41" s="22"/>
      <c r="I41" s="22"/>
      <c r="J41" s="22"/>
      <c r="K41" s="22"/>
    </row>
    <row r="42" spans="1:11" s="160" customFormat="1" ht="15.75">
      <c r="A42" s="9"/>
      <c r="B42" s="22"/>
      <c r="C42" s="9"/>
      <c r="D42" s="22"/>
      <c r="E42" s="22"/>
      <c r="F42" s="22"/>
      <c r="G42" s="22"/>
      <c r="H42" s="22"/>
      <c r="I42" s="22"/>
      <c r="J42" s="22"/>
      <c r="K42" s="22"/>
    </row>
    <row r="43" spans="1:11" s="160" customFormat="1" ht="15.75">
      <c r="A43" s="9"/>
      <c r="B43" s="22"/>
      <c r="C43" s="9"/>
      <c r="D43" s="22"/>
      <c r="E43" s="22"/>
      <c r="F43" s="22"/>
      <c r="G43" s="22"/>
      <c r="H43" s="22"/>
      <c r="I43" s="22"/>
      <c r="J43" s="22"/>
      <c r="K43" s="22"/>
    </row>
    <row r="44" spans="1:11" s="160" customFormat="1" ht="15.75">
      <c r="A44" s="9"/>
      <c r="B44" s="22"/>
      <c r="C44" s="9"/>
      <c r="D44" s="22"/>
      <c r="E44" s="22"/>
      <c r="F44" s="22"/>
      <c r="G44" s="22"/>
      <c r="H44" s="22"/>
      <c r="I44" s="22"/>
      <c r="J44" s="22"/>
      <c r="K44" s="22"/>
    </row>
    <row r="45" spans="1:11" s="160" customFormat="1" ht="15.75">
      <c r="A45" s="9"/>
      <c r="B45" s="22"/>
      <c r="C45" s="9"/>
      <c r="D45" s="22"/>
      <c r="E45" s="22"/>
      <c r="F45" s="22"/>
      <c r="G45" s="22"/>
      <c r="H45" s="22"/>
      <c r="I45" s="22"/>
      <c r="J45" s="22"/>
      <c r="K45" s="22"/>
    </row>
    <row r="46" spans="1:11" s="160" customFormat="1" ht="15.75">
      <c r="A46" s="9"/>
      <c r="B46" s="22"/>
      <c r="C46" s="9"/>
      <c r="D46" s="22"/>
      <c r="E46" s="22"/>
      <c r="F46" s="22"/>
      <c r="G46" s="22"/>
      <c r="H46" s="22"/>
      <c r="I46" s="22"/>
      <c r="J46" s="22"/>
      <c r="K46" s="22"/>
    </row>
  </sheetData>
  <sheetProtection/>
  <mergeCells count="18">
    <mergeCell ref="A3:L3"/>
    <mergeCell ref="A4:K4"/>
    <mergeCell ref="B6:E6"/>
    <mergeCell ref="F6:H6"/>
    <mergeCell ref="I6:K6"/>
    <mergeCell ref="A30:L30"/>
    <mergeCell ref="A6:A8"/>
    <mergeCell ref="B7:B9"/>
    <mergeCell ref="C7:C9"/>
    <mergeCell ref="D7:D9"/>
    <mergeCell ref="E8:E9"/>
    <mergeCell ref="F7:F9"/>
    <mergeCell ref="G7:G9"/>
    <mergeCell ref="H7:H9"/>
    <mergeCell ref="I7:I8"/>
    <mergeCell ref="J7:J9"/>
    <mergeCell ref="K7:K8"/>
    <mergeCell ref="L6:L9"/>
  </mergeCells>
  <printOptions/>
  <pageMargins left="0.6298611111111111" right="0.5902777777777778" top="0.7868055555555555" bottom="1.1805555555555556" header="0.35" footer="0.5118055555555555"/>
  <pageSetup fitToHeight="0" fitToWidth="1" horizontalDpi="600" verticalDpi="600" orientation="portrait" paperSize="9" scale="5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="85" zoomScaleNormal="85" zoomScaleSheetLayoutView="100" workbookViewId="0" topLeftCell="B1">
      <selection activeCell="Y34" sqref="Y34"/>
    </sheetView>
  </sheetViews>
  <sheetFormatPr defaultColWidth="9.00390625" defaultRowHeight="15"/>
  <cols>
    <col min="1" max="1" width="5.28125" style="254" hidden="1" customWidth="1"/>
    <col min="2" max="2" width="11.7109375" style="254" customWidth="1"/>
    <col min="3" max="3" width="11.421875" style="254" customWidth="1"/>
    <col min="4" max="4" width="12.7109375" style="254" customWidth="1"/>
    <col min="5" max="5" width="12.8515625" style="254" customWidth="1"/>
    <col min="6" max="6" width="12.00390625" style="254" customWidth="1"/>
    <col min="7" max="7" width="13.421875" style="254" customWidth="1"/>
    <col min="8" max="13" width="11.140625" style="254" hidden="1" customWidth="1"/>
    <col min="14" max="14" width="26.57421875" style="254" hidden="1" customWidth="1"/>
    <col min="15" max="20" width="11.140625" style="254" hidden="1" customWidth="1"/>
    <col min="21" max="21" width="12.140625" style="254" customWidth="1"/>
    <col min="22" max="22" width="10.140625" style="254" customWidth="1"/>
    <col min="23" max="23" width="14.421875" style="254" customWidth="1"/>
    <col min="24" max="24" width="11.57421875" style="254" customWidth="1"/>
    <col min="25" max="25" width="16.57421875" style="254" customWidth="1"/>
    <col min="26" max="26" width="14.00390625" style="254" customWidth="1"/>
    <col min="27" max="33" width="11.140625" style="254" customWidth="1"/>
    <col min="34" max="16384" width="9.00390625" style="254" customWidth="1"/>
  </cols>
  <sheetData>
    <row r="1" spans="1:8" s="250" customFormat="1" ht="26.25">
      <c r="A1" s="255" t="s">
        <v>85</v>
      </c>
      <c r="B1" s="256" t="s">
        <v>259</v>
      </c>
      <c r="C1" s="257"/>
      <c r="D1" s="257"/>
      <c r="E1" s="257"/>
      <c r="F1" s="257"/>
      <c r="G1" s="301"/>
      <c r="H1" s="301"/>
    </row>
    <row r="2" spans="1:25" s="250" customFormat="1" ht="30" customHeight="1">
      <c r="A2" s="258" t="s">
        <v>260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s="250" customFormat="1" ht="20.25">
      <c r="A3" s="259" t="s">
        <v>261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s="250" customFormat="1" ht="20.2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</row>
    <row r="5" spans="1:25" s="250" customFormat="1" ht="20.25">
      <c r="A5" s="259"/>
      <c r="B5" s="260" t="s">
        <v>3</v>
      </c>
      <c r="C5" s="261" t="s">
        <v>262</v>
      </c>
      <c r="D5" s="261"/>
      <c r="E5" s="261"/>
      <c r="F5" s="261"/>
      <c r="G5" s="302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43" t="s">
        <v>263</v>
      </c>
      <c r="V5" s="344"/>
      <c r="W5" s="345" t="s">
        <v>152</v>
      </c>
      <c r="X5" s="268" t="s">
        <v>264</v>
      </c>
      <c r="Y5" s="345" t="s">
        <v>7</v>
      </c>
    </row>
    <row r="6" spans="1:25" s="250" customFormat="1" ht="36.75" customHeight="1">
      <c r="A6" s="262" t="s">
        <v>88</v>
      </c>
      <c r="B6" s="263"/>
      <c r="C6" s="264" t="s">
        <v>265</v>
      </c>
      <c r="D6" s="265"/>
      <c r="E6" s="304" t="s">
        <v>149</v>
      </c>
      <c r="F6" s="305"/>
      <c r="G6" s="306" t="s">
        <v>266</v>
      </c>
      <c r="H6" s="260" t="s">
        <v>93</v>
      </c>
      <c r="I6" s="321" t="s">
        <v>94</v>
      </c>
      <c r="J6" s="322"/>
      <c r="K6" s="323" t="s">
        <v>95</v>
      </c>
      <c r="L6" s="323" t="s">
        <v>96</v>
      </c>
      <c r="M6" s="323" t="s">
        <v>97</v>
      </c>
      <c r="N6" s="323">
        <v>20210728</v>
      </c>
      <c r="O6" s="322"/>
      <c r="P6" s="322"/>
      <c r="Q6" s="322"/>
      <c r="R6" s="322"/>
      <c r="S6" s="322"/>
      <c r="T6" s="322"/>
      <c r="U6" s="271"/>
      <c r="V6" s="346"/>
      <c r="W6" s="345"/>
      <c r="X6" s="309"/>
      <c r="Y6" s="345"/>
    </row>
    <row r="7" spans="1:25" s="250" customFormat="1" ht="15">
      <c r="A7" s="266"/>
      <c r="B7" s="263"/>
      <c r="C7" s="267"/>
      <c r="D7" s="268" t="s">
        <v>267</v>
      </c>
      <c r="E7" s="307"/>
      <c r="F7" s="268" t="s">
        <v>159</v>
      </c>
      <c r="G7" s="308"/>
      <c r="H7" s="260"/>
      <c r="I7" s="321"/>
      <c r="J7" s="322"/>
      <c r="K7" s="323"/>
      <c r="L7" s="323"/>
      <c r="M7" s="323"/>
      <c r="N7" s="323"/>
      <c r="O7" s="322"/>
      <c r="P7" s="322"/>
      <c r="Q7" s="322"/>
      <c r="R7" s="322"/>
      <c r="S7" s="322"/>
      <c r="T7" s="322"/>
      <c r="U7" s="268" t="s">
        <v>267</v>
      </c>
      <c r="V7" s="268" t="s">
        <v>149</v>
      </c>
      <c r="W7" s="345"/>
      <c r="X7" s="309"/>
      <c r="Y7" s="345"/>
    </row>
    <row r="8" spans="1:25" s="250" customFormat="1" ht="15">
      <c r="A8" s="266"/>
      <c r="B8" s="263"/>
      <c r="C8" s="267"/>
      <c r="D8" s="269"/>
      <c r="E8" s="307"/>
      <c r="F8" s="309"/>
      <c r="G8" s="308"/>
      <c r="H8" s="260"/>
      <c r="I8" s="321"/>
      <c r="J8" s="322"/>
      <c r="K8" s="323"/>
      <c r="L8" s="323"/>
      <c r="M8" s="323"/>
      <c r="N8" s="323"/>
      <c r="O8" s="322"/>
      <c r="P8" s="322"/>
      <c r="Q8" s="322"/>
      <c r="R8" s="322"/>
      <c r="S8" s="322"/>
      <c r="T8" s="322"/>
      <c r="U8" s="309"/>
      <c r="V8" s="309"/>
      <c r="W8" s="345"/>
      <c r="X8" s="309"/>
      <c r="Y8" s="345"/>
    </row>
    <row r="9" spans="1:25" s="250" customFormat="1" ht="37.5" customHeight="1">
      <c r="A9" s="270"/>
      <c r="B9" s="263"/>
      <c r="C9" s="271"/>
      <c r="D9" s="272"/>
      <c r="E9" s="310"/>
      <c r="F9" s="311"/>
      <c r="G9" s="308"/>
      <c r="H9" s="260"/>
      <c r="I9" s="321"/>
      <c r="J9" s="322"/>
      <c r="K9" s="323"/>
      <c r="L9" s="323"/>
      <c r="M9" s="323"/>
      <c r="N9" s="323"/>
      <c r="O9" s="322"/>
      <c r="P9" s="322"/>
      <c r="Q9" s="322"/>
      <c r="R9" s="322"/>
      <c r="S9" s="322"/>
      <c r="T9" s="322"/>
      <c r="U9" s="311"/>
      <c r="V9" s="311"/>
      <c r="W9" s="345"/>
      <c r="X9" s="311"/>
      <c r="Y9" s="345"/>
    </row>
    <row r="10" spans="2:31" s="250" customFormat="1" ht="18">
      <c r="B10" s="273" t="s">
        <v>101</v>
      </c>
      <c r="C10" s="274">
        <v>1</v>
      </c>
      <c r="D10" s="274">
        <v>2</v>
      </c>
      <c r="E10" s="274">
        <v>3</v>
      </c>
      <c r="F10" s="274">
        <v>4</v>
      </c>
      <c r="G10" s="312" t="s">
        <v>189</v>
      </c>
      <c r="H10" s="312">
        <v>6</v>
      </c>
      <c r="I10" s="324"/>
      <c r="J10" s="324"/>
      <c r="K10" s="325">
        <v>3625</v>
      </c>
      <c r="L10" s="325">
        <v>5392</v>
      </c>
      <c r="M10" s="325">
        <f>SUM(M12:M25)</f>
        <v>2013</v>
      </c>
      <c r="N10" s="325"/>
      <c r="O10" s="324"/>
      <c r="P10" s="324"/>
      <c r="Q10" s="324"/>
      <c r="R10" s="324"/>
      <c r="S10" s="324"/>
      <c r="T10" s="324"/>
      <c r="U10" s="324">
        <v>6</v>
      </c>
      <c r="V10" s="324">
        <v>7</v>
      </c>
      <c r="W10" s="324" t="s">
        <v>268</v>
      </c>
      <c r="X10" s="324" t="s">
        <v>269</v>
      </c>
      <c r="Y10" s="322">
        <v>8</v>
      </c>
      <c r="AC10" s="356"/>
      <c r="AD10" s="356"/>
      <c r="AE10" s="356"/>
    </row>
    <row r="11" spans="2:25" s="250" customFormat="1" ht="30" customHeight="1">
      <c r="B11" s="273" t="s">
        <v>103</v>
      </c>
      <c r="C11" s="275">
        <f>SUM(C12:C27)</f>
        <v>471258</v>
      </c>
      <c r="D11" s="275">
        <f>SUM(D12:D27)</f>
        <v>469281</v>
      </c>
      <c r="E11" s="275">
        <f>SUM(E12:E27)</f>
        <v>449917</v>
      </c>
      <c r="F11" s="275">
        <f>SUM(F12:F27)</f>
        <v>15222</v>
      </c>
      <c r="G11" s="313">
        <f>E11/D11</f>
        <v>0.958736876199974</v>
      </c>
      <c r="H11" s="314" t="s">
        <v>21</v>
      </c>
      <c r="I11" s="326">
        <v>396080</v>
      </c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275">
        <f>SUM(U12:U27)</f>
        <v>18949</v>
      </c>
      <c r="V11" s="275">
        <f>SUM(V12:V27)</f>
        <v>1682</v>
      </c>
      <c r="W11" s="275">
        <f aca="true" t="shared" si="0" ref="W11:W27">D11+U11</f>
        <v>488230</v>
      </c>
      <c r="X11" s="275">
        <f aca="true" t="shared" si="1" ref="X11:X27">E11+V11</f>
        <v>451599</v>
      </c>
      <c r="Y11" s="352"/>
    </row>
    <row r="12" spans="1:25" s="251" customFormat="1" ht="37.5" customHeight="1">
      <c r="A12" s="276">
        <v>1</v>
      </c>
      <c r="B12" s="277" t="s">
        <v>104</v>
      </c>
      <c r="C12" s="278">
        <f>81218+48</f>
        <v>81266</v>
      </c>
      <c r="D12" s="279">
        <f>79452+108+48</f>
        <v>79608</v>
      </c>
      <c r="E12" s="279">
        <v>76379</v>
      </c>
      <c r="F12" s="279">
        <v>1185</v>
      </c>
      <c r="G12" s="315">
        <f aca="true" t="shared" si="2" ref="G12:G27">(E12/D12)</f>
        <v>0.9594387498743845</v>
      </c>
      <c r="H12" s="316">
        <v>6</v>
      </c>
      <c r="I12" s="327">
        <v>73471</v>
      </c>
      <c r="J12" s="328"/>
      <c r="K12" s="329"/>
      <c r="L12" s="329"/>
      <c r="M12" s="329"/>
      <c r="N12" s="329"/>
      <c r="O12" s="327"/>
      <c r="P12" s="327"/>
      <c r="Q12" s="327"/>
      <c r="R12" s="327"/>
      <c r="S12" s="327"/>
      <c r="T12" s="327"/>
      <c r="U12" s="278">
        <f>3500+4663+2275</f>
        <v>10438</v>
      </c>
      <c r="V12" s="278"/>
      <c r="W12" s="347">
        <f t="shared" si="0"/>
        <v>90046</v>
      </c>
      <c r="X12" s="347">
        <f t="shared" si="1"/>
        <v>76379</v>
      </c>
      <c r="Y12" s="353" t="s">
        <v>270</v>
      </c>
    </row>
    <row r="13" spans="1:25" s="251" customFormat="1" ht="30.75" customHeight="1">
      <c r="A13" s="280">
        <v>2</v>
      </c>
      <c r="B13" s="277" t="s">
        <v>105</v>
      </c>
      <c r="C13" s="278">
        <f>50121-L13</f>
        <v>47159</v>
      </c>
      <c r="D13" s="279">
        <f>50121-L13</f>
        <v>47159</v>
      </c>
      <c r="E13" s="279">
        <v>46486</v>
      </c>
      <c r="F13" s="279">
        <v>923</v>
      </c>
      <c r="G13" s="315">
        <f t="shared" si="2"/>
        <v>0.9857291291163934</v>
      </c>
      <c r="H13" s="316">
        <v>13</v>
      </c>
      <c r="I13" s="327">
        <v>44082</v>
      </c>
      <c r="J13" s="328"/>
      <c r="K13" s="329"/>
      <c r="L13" s="329">
        <v>2962</v>
      </c>
      <c r="M13" s="329"/>
      <c r="N13" s="329"/>
      <c r="O13" s="327"/>
      <c r="P13" s="327"/>
      <c r="Q13" s="327"/>
      <c r="R13" s="327"/>
      <c r="S13" s="327"/>
      <c r="T13" s="327"/>
      <c r="U13" s="278"/>
      <c r="V13" s="278"/>
      <c r="W13" s="347">
        <f t="shared" si="0"/>
        <v>47159</v>
      </c>
      <c r="X13" s="347">
        <f t="shared" si="1"/>
        <v>46486</v>
      </c>
      <c r="Y13" s="327"/>
    </row>
    <row r="14" spans="1:25" s="251" customFormat="1" ht="30.75" customHeight="1">
      <c r="A14" s="280">
        <v>3</v>
      </c>
      <c r="B14" s="281" t="s">
        <v>161</v>
      </c>
      <c r="C14" s="278">
        <f>41161-L14-M14</f>
        <v>38645</v>
      </c>
      <c r="D14" s="279">
        <f>41161-L14-M14+133</f>
        <v>38778</v>
      </c>
      <c r="E14" s="279">
        <v>37282</v>
      </c>
      <c r="F14" s="279">
        <v>1024</v>
      </c>
      <c r="G14" s="315">
        <f t="shared" si="2"/>
        <v>0.9614214245190572</v>
      </c>
      <c r="H14" s="316">
        <v>11</v>
      </c>
      <c r="I14" s="327">
        <v>35243</v>
      </c>
      <c r="J14" s="328"/>
      <c r="K14" s="329"/>
      <c r="L14" s="329">
        <v>1780</v>
      </c>
      <c r="M14" s="329">
        <v>736</v>
      </c>
      <c r="N14" s="329"/>
      <c r="O14" s="327"/>
      <c r="P14" s="327"/>
      <c r="Q14" s="327"/>
      <c r="R14" s="327"/>
      <c r="S14" s="327"/>
      <c r="T14" s="327"/>
      <c r="U14" s="278">
        <f>3393+2700</f>
        <v>6093</v>
      </c>
      <c r="V14" s="278">
        <v>1682</v>
      </c>
      <c r="W14" s="347">
        <f t="shared" si="0"/>
        <v>44871</v>
      </c>
      <c r="X14" s="347">
        <f t="shared" si="1"/>
        <v>38964</v>
      </c>
      <c r="Y14" s="353"/>
    </row>
    <row r="15" spans="1:27" s="251" customFormat="1" ht="30.75" customHeight="1">
      <c r="A15" s="280">
        <v>4</v>
      </c>
      <c r="B15" s="282" t="s">
        <v>107</v>
      </c>
      <c r="C15" s="278">
        <f>D15</f>
        <v>38473</v>
      </c>
      <c r="D15" s="279">
        <f>39382-450-L15-56</f>
        <v>38473</v>
      </c>
      <c r="E15" s="279">
        <v>37674</v>
      </c>
      <c r="F15" s="279">
        <v>325</v>
      </c>
      <c r="G15" s="315">
        <f t="shared" si="2"/>
        <v>0.9792321888077353</v>
      </c>
      <c r="H15" s="316">
        <v>10</v>
      </c>
      <c r="I15" s="327">
        <v>34802</v>
      </c>
      <c r="J15" s="328"/>
      <c r="K15" s="329">
        <v>450</v>
      </c>
      <c r="L15" s="329">
        <v>403</v>
      </c>
      <c r="M15" s="329"/>
      <c r="N15" s="329"/>
      <c r="O15" s="340" t="s">
        <v>108</v>
      </c>
      <c r="P15" s="327"/>
      <c r="Q15" s="327"/>
      <c r="R15" s="327"/>
      <c r="S15" s="327"/>
      <c r="T15" s="327"/>
      <c r="U15" s="278"/>
      <c r="V15" s="278"/>
      <c r="W15" s="347">
        <f t="shared" si="0"/>
        <v>38473</v>
      </c>
      <c r="X15" s="347">
        <f t="shared" si="1"/>
        <v>37674</v>
      </c>
      <c r="Y15" s="327"/>
      <c r="AA15" s="354"/>
    </row>
    <row r="16" spans="1:25" s="251" customFormat="1" ht="30.75" customHeight="1">
      <c r="A16" s="280">
        <v>5</v>
      </c>
      <c r="B16" s="282" t="s">
        <v>109</v>
      </c>
      <c r="C16" s="278">
        <v>19100</v>
      </c>
      <c r="D16" s="279">
        <f>19100</f>
        <v>19100</v>
      </c>
      <c r="E16" s="279">
        <v>17524</v>
      </c>
      <c r="F16" s="279">
        <v>589</v>
      </c>
      <c r="G16" s="315">
        <f t="shared" si="2"/>
        <v>0.9174869109947644</v>
      </c>
      <c r="H16" s="316">
        <v>5</v>
      </c>
      <c r="I16" s="327">
        <v>17815</v>
      </c>
      <c r="J16" s="328"/>
      <c r="K16" s="329"/>
      <c r="L16" s="329"/>
      <c r="M16" s="329"/>
      <c r="N16" s="329"/>
      <c r="O16" s="327"/>
      <c r="P16" s="327"/>
      <c r="Q16" s="327"/>
      <c r="R16" s="327"/>
      <c r="S16" s="327"/>
      <c r="T16" s="327"/>
      <c r="U16" s="278">
        <f>1548+870</f>
        <v>2418</v>
      </c>
      <c r="V16" s="278"/>
      <c r="W16" s="347">
        <f t="shared" si="0"/>
        <v>21518</v>
      </c>
      <c r="X16" s="347">
        <f t="shared" si="1"/>
        <v>17524</v>
      </c>
      <c r="Y16" s="353"/>
    </row>
    <row r="17" spans="1:25" s="251" customFormat="1" ht="30.75" customHeight="1">
      <c r="A17" s="280">
        <v>6</v>
      </c>
      <c r="B17" s="282" t="s">
        <v>110</v>
      </c>
      <c r="C17" s="278">
        <f>D17</f>
        <v>10106</v>
      </c>
      <c r="D17" s="279">
        <f>10213-K17-12</f>
        <v>10106</v>
      </c>
      <c r="E17" s="279">
        <v>9514</v>
      </c>
      <c r="F17" s="279">
        <v>816</v>
      </c>
      <c r="G17" s="315">
        <f t="shared" si="2"/>
        <v>0.9414209380566</v>
      </c>
      <c r="H17" s="316">
        <v>12</v>
      </c>
      <c r="I17" s="327">
        <v>9318</v>
      </c>
      <c r="J17" s="328"/>
      <c r="K17" s="329">
        <v>95</v>
      </c>
      <c r="L17" s="329"/>
      <c r="M17" s="329"/>
      <c r="N17" s="341" t="s">
        <v>271</v>
      </c>
      <c r="O17" s="327"/>
      <c r="P17" s="327"/>
      <c r="Q17" s="327"/>
      <c r="R17" s="327"/>
      <c r="S17" s="327"/>
      <c r="T17" s="327"/>
      <c r="U17" s="278"/>
      <c r="V17" s="278"/>
      <c r="W17" s="347">
        <f t="shared" si="0"/>
        <v>10106</v>
      </c>
      <c r="X17" s="347">
        <f t="shared" si="1"/>
        <v>9514</v>
      </c>
      <c r="Y17" s="327"/>
    </row>
    <row r="18" spans="1:25" s="251" customFormat="1" ht="30.75" customHeight="1">
      <c r="A18" s="280">
        <v>7</v>
      </c>
      <c r="B18" s="282" t="s">
        <v>111</v>
      </c>
      <c r="C18" s="278">
        <v>29527</v>
      </c>
      <c r="D18" s="279">
        <v>29527</v>
      </c>
      <c r="E18" s="279">
        <v>28600</v>
      </c>
      <c r="F18" s="279">
        <v>4238</v>
      </c>
      <c r="G18" s="315">
        <f t="shared" si="2"/>
        <v>0.9686050055881058</v>
      </c>
      <c r="H18" s="316">
        <v>9</v>
      </c>
      <c r="I18" s="327">
        <v>27056</v>
      </c>
      <c r="J18" s="328"/>
      <c r="K18" s="329"/>
      <c r="L18" s="329"/>
      <c r="M18" s="329"/>
      <c r="N18" s="329"/>
      <c r="O18" s="327"/>
      <c r="P18" s="327"/>
      <c r="Q18" s="327"/>
      <c r="R18" s="327"/>
      <c r="S18" s="327"/>
      <c r="T18" s="327"/>
      <c r="U18" s="278"/>
      <c r="V18" s="278"/>
      <c r="W18" s="347">
        <f t="shared" si="0"/>
        <v>29527</v>
      </c>
      <c r="X18" s="347">
        <f t="shared" si="1"/>
        <v>28600</v>
      </c>
      <c r="Y18" s="327"/>
    </row>
    <row r="19" spans="1:25" s="252" customFormat="1" ht="30.75" customHeight="1">
      <c r="A19" s="283">
        <v>8</v>
      </c>
      <c r="B19" s="282" t="s">
        <v>112</v>
      </c>
      <c r="C19" s="279">
        <f>30434-M19</f>
        <v>30257</v>
      </c>
      <c r="D19" s="279">
        <f>30420-M19</f>
        <v>30243</v>
      </c>
      <c r="E19" s="279">
        <v>28612</v>
      </c>
      <c r="F19" s="279">
        <v>2057</v>
      </c>
      <c r="G19" s="315">
        <f t="shared" si="2"/>
        <v>0.9460701649968588</v>
      </c>
      <c r="H19" s="316">
        <v>14</v>
      </c>
      <c r="I19" s="330">
        <v>28270</v>
      </c>
      <c r="J19" s="331"/>
      <c r="K19" s="332"/>
      <c r="L19" s="332"/>
      <c r="M19" s="332">
        <v>177</v>
      </c>
      <c r="N19" s="332"/>
      <c r="O19" s="330"/>
      <c r="P19" s="330"/>
      <c r="Q19" s="330"/>
      <c r="R19" s="330"/>
      <c r="S19" s="330"/>
      <c r="T19" s="330"/>
      <c r="U19" s="279"/>
      <c r="V19" s="279"/>
      <c r="W19" s="347">
        <f t="shared" si="0"/>
        <v>30243</v>
      </c>
      <c r="X19" s="347">
        <f t="shared" si="1"/>
        <v>28612</v>
      </c>
      <c r="Y19" s="330"/>
    </row>
    <row r="20" spans="1:256" s="251" customFormat="1" ht="30.75" customHeight="1">
      <c r="A20" s="280">
        <v>9</v>
      </c>
      <c r="B20" s="282" t="s">
        <v>113</v>
      </c>
      <c r="C20" s="278">
        <f>24704-M20-48</f>
        <v>24272</v>
      </c>
      <c r="D20" s="279">
        <f>24704-M20-48-77</f>
        <v>24195</v>
      </c>
      <c r="E20" s="279">
        <v>24075</v>
      </c>
      <c r="F20" s="279">
        <v>158</v>
      </c>
      <c r="G20" s="315">
        <f t="shared" si="2"/>
        <v>0.9950402975821451</v>
      </c>
      <c r="H20" s="316">
        <v>7</v>
      </c>
      <c r="I20" s="330">
        <v>22700</v>
      </c>
      <c r="J20" s="331"/>
      <c r="K20" s="332"/>
      <c r="L20" s="332"/>
      <c r="M20" s="332">
        <v>384</v>
      </c>
      <c r="N20" s="332"/>
      <c r="O20" s="331"/>
      <c r="P20" s="331"/>
      <c r="Q20" s="331"/>
      <c r="R20" s="331"/>
      <c r="S20" s="331"/>
      <c r="T20" s="331"/>
      <c r="U20" s="348"/>
      <c r="V20" s="348"/>
      <c r="W20" s="347">
        <f t="shared" si="0"/>
        <v>24195</v>
      </c>
      <c r="X20" s="347">
        <f t="shared" si="1"/>
        <v>24075</v>
      </c>
      <c r="Y20" s="328"/>
      <c r="Z20" s="254"/>
      <c r="AA20" s="252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  <c r="IV20" s="254"/>
    </row>
    <row r="21" spans="1:25" s="252" customFormat="1" ht="30.75" customHeight="1">
      <c r="A21" s="283">
        <v>10</v>
      </c>
      <c r="B21" s="282" t="s">
        <v>114</v>
      </c>
      <c r="C21" s="279">
        <f>46017</f>
        <v>46017</v>
      </c>
      <c r="D21" s="279">
        <f>46205-K21</f>
        <v>45721</v>
      </c>
      <c r="E21" s="279">
        <v>43779</v>
      </c>
      <c r="F21" s="279">
        <v>1322</v>
      </c>
      <c r="G21" s="315">
        <f t="shared" si="2"/>
        <v>0.9575249885173115</v>
      </c>
      <c r="H21" s="316">
        <v>2</v>
      </c>
      <c r="I21" s="330">
        <v>44470</v>
      </c>
      <c r="J21" s="331"/>
      <c r="K21" s="332">
        <v>484</v>
      </c>
      <c r="L21" s="332"/>
      <c r="M21" s="332"/>
      <c r="N21" s="332"/>
      <c r="O21" s="342" t="s">
        <v>115</v>
      </c>
      <c r="P21" s="330"/>
      <c r="Q21" s="330"/>
      <c r="R21" s="330"/>
      <c r="S21" s="330"/>
      <c r="T21" s="330"/>
      <c r="U21" s="279"/>
      <c r="V21" s="279"/>
      <c r="W21" s="347">
        <f t="shared" si="0"/>
        <v>45721</v>
      </c>
      <c r="X21" s="347">
        <f t="shared" si="1"/>
        <v>43779</v>
      </c>
      <c r="Y21" s="330"/>
    </row>
    <row r="22" spans="1:25" s="251" customFormat="1" ht="30.75" customHeight="1">
      <c r="A22" s="280">
        <v>11</v>
      </c>
      <c r="B22" s="282" t="s">
        <v>116</v>
      </c>
      <c r="C22" s="278">
        <f>D22+18+1</f>
        <v>19089</v>
      </c>
      <c r="D22" s="279">
        <f>20281-K22-L22-108-M22</f>
        <v>19070</v>
      </c>
      <c r="E22" s="279">
        <v>18508</v>
      </c>
      <c r="F22" s="279">
        <v>407</v>
      </c>
      <c r="G22" s="315">
        <f t="shared" si="2"/>
        <v>0.9705296276874672</v>
      </c>
      <c r="H22" s="316">
        <v>4</v>
      </c>
      <c r="I22" s="327">
        <v>17553</v>
      </c>
      <c r="J22" s="328"/>
      <c r="K22" s="329">
        <v>463</v>
      </c>
      <c r="L22" s="329">
        <v>247</v>
      </c>
      <c r="M22" s="329">
        <v>393</v>
      </c>
      <c r="N22" s="329"/>
      <c r="O22" s="327"/>
      <c r="P22" s="327"/>
      <c r="Q22" s="327"/>
      <c r="R22" s="327"/>
      <c r="S22" s="327"/>
      <c r="T22" s="327"/>
      <c r="U22" s="278"/>
      <c r="V22" s="278"/>
      <c r="W22" s="347">
        <f t="shared" si="0"/>
        <v>19070</v>
      </c>
      <c r="X22" s="347">
        <f t="shared" si="1"/>
        <v>18508</v>
      </c>
      <c r="Y22" s="327"/>
    </row>
    <row r="23" spans="1:25" s="251" customFormat="1" ht="30.75" customHeight="1">
      <c r="A23" s="280">
        <v>12</v>
      </c>
      <c r="B23" s="282" t="s">
        <v>117</v>
      </c>
      <c r="C23" s="278">
        <f>D23</f>
        <v>37940</v>
      </c>
      <c r="D23" s="279">
        <f>38642-579-M23</f>
        <v>37940</v>
      </c>
      <c r="E23" s="279">
        <v>36015</v>
      </c>
      <c r="F23" s="279">
        <v>492</v>
      </c>
      <c r="G23" s="315">
        <f t="shared" si="2"/>
        <v>0.9492619926199262</v>
      </c>
      <c r="H23" s="316">
        <v>3</v>
      </c>
      <c r="I23" s="327">
        <v>36486</v>
      </c>
      <c r="J23" s="328"/>
      <c r="K23" s="329">
        <v>579</v>
      </c>
      <c r="L23" s="329"/>
      <c r="M23" s="329">
        <v>123</v>
      </c>
      <c r="N23" s="329"/>
      <c r="O23" s="327"/>
      <c r="P23" s="327"/>
      <c r="Q23" s="327"/>
      <c r="R23" s="327"/>
      <c r="S23" s="327"/>
      <c r="T23" s="327"/>
      <c r="U23" s="278"/>
      <c r="V23" s="278"/>
      <c r="W23" s="347">
        <f t="shared" si="0"/>
        <v>37940</v>
      </c>
      <c r="X23" s="347">
        <f t="shared" si="1"/>
        <v>36015</v>
      </c>
      <c r="Y23" s="327"/>
    </row>
    <row r="24" spans="1:256" s="251" customFormat="1" ht="30.75" customHeight="1">
      <c r="A24" s="280">
        <v>13</v>
      </c>
      <c r="B24" s="282" t="s">
        <v>118</v>
      </c>
      <c r="C24" s="278">
        <v>29236</v>
      </c>
      <c r="D24" s="279">
        <v>29236</v>
      </c>
      <c r="E24" s="279">
        <v>26362</v>
      </c>
      <c r="F24" s="279">
        <v>1610</v>
      </c>
      <c r="G24" s="315">
        <f t="shared" si="2"/>
        <v>0.9016965385141607</v>
      </c>
      <c r="H24" s="316">
        <v>8</v>
      </c>
      <c r="I24" s="327">
        <v>27663</v>
      </c>
      <c r="J24" s="328"/>
      <c r="K24" s="329"/>
      <c r="L24" s="329"/>
      <c r="M24" s="329"/>
      <c r="N24" s="329"/>
      <c r="O24" s="328"/>
      <c r="P24" s="328"/>
      <c r="Q24" s="328"/>
      <c r="R24" s="328"/>
      <c r="S24" s="328"/>
      <c r="T24" s="328"/>
      <c r="U24" s="349"/>
      <c r="V24" s="349"/>
      <c r="W24" s="347">
        <f t="shared" si="0"/>
        <v>29236</v>
      </c>
      <c r="X24" s="347">
        <f t="shared" si="1"/>
        <v>26362</v>
      </c>
      <c r="Y24" s="328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  <c r="IB24" s="254"/>
      <c r="IC24" s="254"/>
      <c r="ID24" s="254"/>
      <c r="IE24" s="254"/>
      <c r="IF24" s="254"/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54"/>
      <c r="IR24" s="254"/>
      <c r="IS24" s="254"/>
      <c r="IT24" s="254"/>
      <c r="IU24" s="254"/>
      <c r="IV24" s="254"/>
    </row>
    <row r="25" spans="1:256" s="252" customFormat="1" ht="30.75" customHeight="1">
      <c r="A25" s="284">
        <v>14</v>
      </c>
      <c r="B25" s="285" t="s">
        <v>175</v>
      </c>
      <c r="C25" s="286">
        <f>19614-1554-3-M25</f>
        <v>17857</v>
      </c>
      <c r="D25" s="286">
        <f>19565-1554-M25</f>
        <v>17811</v>
      </c>
      <c r="E25" s="286">
        <v>17520</v>
      </c>
      <c r="F25" s="286">
        <v>76</v>
      </c>
      <c r="G25" s="317">
        <f t="shared" si="2"/>
        <v>0.9836617820448038</v>
      </c>
      <c r="H25" s="318">
        <v>1</v>
      </c>
      <c r="I25" s="333">
        <v>17039</v>
      </c>
      <c r="J25" s="334"/>
      <c r="K25" s="335">
        <v>1554</v>
      </c>
      <c r="L25" s="335"/>
      <c r="M25" s="335">
        <v>200</v>
      </c>
      <c r="N25" s="335"/>
      <c r="O25" s="333"/>
      <c r="P25" s="333"/>
      <c r="Q25" s="333"/>
      <c r="R25" s="333"/>
      <c r="S25" s="333"/>
      <c r="T25" s="333"/>
      <c r="U25" s="286"/>
      <c r="V25" s="286"/>
      <c r="W25" s="350">
        <f t="shared" si="0"/>
        <v>17811</v>
      </c>
      <c r="X25" s="347">
        <f t="shared" si="1"/>
        <v>17520</v>
      </c>
      <c r="Y25" s="334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5"/>
      <c r="DI25" s="355"/>
      <c r="DJ25" s="355"/>
      <c r="DK25" s="355"/>
      <c r="DL25" s="355"/>
      <c r="DM25" s="355"/>
      <c r="DN25" s="355"/>
      <c r="DO25" s="355"/>
      <c r="DP25" s="355"/>
      <c r="DQ25" s="355"/>
      <c r="DR25" s="355"/>
      <c r="DS25" s="355"/>
      <c r="DT25" s="355"/>
      <c r="DU25" s="355"/>
      <c r="DV25" s="355"/>
      <c r="DW25" s="355"/>
      <c r="DX25" s="355"/>
      <c r="DY25" s="355"/>
      <c r="DZ25" s="355"/>
      <c r="EA25" s="355"/>
      <c r="EB25" s="355"/>
      <c r="EC25" s="355"/>
      <c r="ED25" s="355"/>
      <c r="EE25" s="355"/>
      <c r="EF25" s="355"/>
      <c r="EG25" s="355"/>
      <c r="EH25" s="355"/>
      <c r="EI25" s="355"/>
      <c r="EJ25" s="355"/>
      <c r="EK25" s="355"/>
      <c r="EL25" s="355"/>
      <c r="EM25" s="355"/>
      <c r="EN25" s="355"/>
      <c r="EO25" s="355"/>
      <c r="EP25" s="355"/>
      <c r="EQ25" s="355"/>
      <c r="ER25" s="355"/>
      <c r="ES25" s="355"/>
      <c r="ET25" s="355"/>
      <c r="EU25" s="355"/>
      <c r="EV25" s="355"/>
      <c r="EW25" s="355"/>
      <c r="EX25" s="355"/>
      <c r="EY25" s="355"/>
      <c r="EZ25" s="355"/>
      <c r="FA25" s="355"/>
      <c r="FB25" s="355"/>
      <c r="FC25" s="355"/>
      <c r="FD25" s="355"/>
      <c r="FE25" s="355"/>
      <c r="FF25" s="355"/>
      <c r="FG25" s="355"/>
      <c r="FH25" s="355"/>
      <c r="FI25" s="355"/>
      <c r="FJ25" s="355"/>
      <c r="FK25" s="355"/>
      <c r="FL25" s="355"/>
      <c r="FM25" s="355"/>
      <c r="FN25" s="355"/>
      <c r="FO25" s="355"/>
      <c r="FP25" s="355"/>
      <c r="FQ25" s="355"/>
      <c r="FR25" s="355"/>
      <c r="FS25" s="355"/>
      <c r="FT25" s="355"/>
      <c r="FU25" s="355"/>
      <c r="FV25" s="355"/>
      <c r="FW25" s="355"/>
      <c r="FX25" s="355"/>
      <c r="FY25" s="355"/>
      <c r="FZ25" s="355"/>
      <c r="GA25" s="355"/>
      <c r="GB25" s="355"/>
      <c r="GC25" s="355"/>
      <c r="GD25" s="355"/>
      <c r="GE25" s="355"/>
      <c r="GF25" s="355"/>
      <c r="GG25" s="355"/>
      <c r="GH25" s="355"/>
      <c r="GI25" s="355"/>
      <c r="GJ25" s="355"/>
      <c r="GK25" s="355"/>
      <c r="GL25" s="355"/>
      <c r="GM25" s="355"/>
      <c r="GN25" s="355"/>
      <c r="GO25" s="355"/>
      <c r="GP25" s="355"/>
      <c r="GQ25" s="355"/>
      <c r="GR25" s="355"/>
      <c r="GS25" s="355"/>
      <c r="GT25" s="355"/>
      <c r="GU25" s="355"/>
      <c r="GV25" s="355"/>
      <c r="GW25" s="355"/>
      <c r="GX25" s="355"/>
      <c r="GY25" s="355"/>
      <c r="GZ25" s="355"/>
      <c r="HA25" s="355"/>
      <c r="HB25" s="355"/>
      <c r="HC25" s="355"/>
      <c r="HD25" s="355"/>
      <c r="HE25" s="355"/>
      <c r="HF25" s="355"/>
      <c r="HG25" s="355"/>
      <c r="HH25" s="355"/>
      <c r="HI25" s="355"/>
      <c r="HJ25" s="355"/>
      <c r="HK25" s="355"/>
      <c r="HL25" s="355"/>
      <c r="HM25" s="355"/>
      <c r="HN25" s="355"/>
      <c r="HO25" s="355"/>
      <c r="HP25" s="355"/>
      <c r="HQ25" s="355"/>
      <c r="HR25" s="355"/>
      <c r="HS25" s="355"/>
      <c r="HT25" s="355"/>
      <c r="HU25" s="355"/>
      <c r="HV25" s="355"/>
      <c r="HW25" s="355"/>
      <c r="HX25" s="355"/>
      <c r="HY25" s="355"/>
      <c r="HZ25" s="355"/>
      <c r="IA25" s="355"/>
      <c r="IB25" s="355"/>
      <c r="IC25" s="355"/>
      <c r="ID25" s="355"/>
      <c r="IE25" s="355"/>
      <c r="IF25" s="355"/>
      <c r="IG25" s="355"/>
      <c r="IH25" s="355"/>
      <c r="II25" s="355"/>
      <c r="IJ25" s="355"/>
      <c r="IK25" s="355"/>
      <c r="IL25" s="355"/>
      <c r="IM25" s="355"/>
      <c r="IN25" s="355"/>
      <c r="IO25" s="355"/>
      <c r="IP25" s="355"/>
      <c r="IQ25" s="355"/>
      <c r="IR25" s="355"/>
      <c r="IS25" s="355"/>
      <c r="IT25" s="355"/>
      <c r="IU25" s="355"/>
      <c r="IV25" s="355"/>
    </row>
    <row r="26" spans="1:25" s="251" customFormat="1" ht="30.75" customHeight="1">
      <c r="A26" s="287">
        <v>15</v>
      </c>
      <c r="B26" s="288" t="s">
        <v>120</v>
      </c>
      <c r="C26" s="289">
        <f>2467-400</f>
        <v>2067</v>
      </c>
      <c r="D26" s="290">
        <f>2467-400</f>
        <v>2067</v>
      </c>
      <c r="E26" s="290">
        <f>1340</f>
        <v>1340</v>
      </c>
      <c r="F26" s="290"/>
      <c r="G26" s="319">
        <f t="shared" si="2"/>
        <v>0.6482825350749879</v>
      </c>
      <c r="H26" s="319"/>
      <c r="I26" s="336">
        <v>411</v>
      </c>
      <c r="J26" s="336"/>
      <c r="K26" s="337"/>
      <c r="L26" s="337"/>
      <c r="M26" s="337"/>
      <c r="N26" s="337"/>
      <c r="O26" s="336"/>
      <c r="P26" s="336"/>
      <c r="Q26" s="336"/>
      <c r="R26" s="336"/>
      <c r="S26" s="336"/>
      <c r="T26" s="336"/>
      <c r="U26" s="289"/>
      <c r="V26" s="289"/>
      <c r="W26" s="351">
        <f t="shared" si="0"/>
        <v>2067</v>
      </c>
      <c r="X26" s="347">
        <f t="shared" si="1"/>
        <v>1340</v>
      </c>
      <c r="Y26" s="336"/>
    </row>
    <row r="27" spans="1:25" s="251" customFormat="1" ht="30.75" customHeight="1">
      <c r="A27" s="291">
        <v>16</v>
      </c>
      <c r="B27" s="277" t="s">
        <v>121</v>
      </c>
      <c r="C27" s="278">
        <v>247</v>
      </c>
      <c r="D27" s="279">
        <v>247</v>
      </c>
      <c r="E27" s="279">
        <v>247</v>
      </c>
      <c r="F27" s="279"/>
      <c r="G27" s="315">
        <f t="shared" si="2"/>
        <v>1</v>
      </c>
      <c r="H27" s="315"/>
      <c r="I27" s="327">
        <v>247</v>
      </c>
      <c r="J27" s="327"/>
      <c r="K27" s="329"/>
      <c r="L27" s="329"/>
      <c r="M27" s="329"/>
      <c r="N27" s="329"/>
      <c r="O27" s="327"/>
      <c r="P27" s="327"/>
      <c r="Q27" s="327"/>
      <c r="R27" s="327"/>
      <c r="S27" s="327"/>
      <c r="T27" s="327"/>
      <c r="U27" s="278"/>
      <c r="V27" s="278"/>
      <c r="W27" s="347">
        <f t="shared" si="0"/>
        <v>247</v>
      </c>
      <c r="X27" s="347">
        <f t="shared" si="1"/>
        <v>247</v>
      </c>
      <c r="Y27" s="327"/>
    </row>
    <row r="28" spans="1:24" s="251" customFormat="1" ht="12" customHeight="1">
      <c r="A28" s="292"/>
      <c r="B28" s="293"/>
      <c r="C28" s="294"/>
      <c r="D28" s="295"/>
      <c r="E28" s="295"/>
      <c r="F28" s="295"/>
      <c r="G28" s="320"/>
      <c r="H28" s="320"/>
      <c r="I28" s="338"/>
      <c r="J28" s="338"/>
      <c r="K28" s="339"/>
      <c r="L28" s="339"/>
      <c r="M28" s="339"/>
      <c r="N28" s="339"/>
      <c r="O28" s="338"/>
      <c r="P28" s="338"/>
      <c r="Q28" s="338"/>
      <c r="R28" s="338"/>
      <c r="S28" s="338"/>
      <c r="T28" s="338"/>
      <c r="U28" s="338"/>
      <c r="V28" s="338"/>
      <c r="W28" s="338"/>
      <c r="X28" s="338"/>
    </row>
    <row r="29" spans="1:25" s="253" customFormat="1" ht="39.75" customHeight="1">
      <c r="A29" s="296" t="s">
        <v>178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</row>
    <row r="30" spans="1:8" s="253" customFormat="1" ht="13.5">
      <c r="A30" s="298"/>
      <c r="B30" s="299"/>
      <c r="C30" s="299"/>
      <c r="D30" s="299"/>
      <c r="E30" s="299"/>
      <c r="F30" s="299"/>
      <c r="G30" s="299"/>
      <c r="H30" s="299"/>
    </row>
    <row r="31" spans="1:8" s="253" customFormat="1" ht="13.5">
      <c r="A31" s="300"/>
      <c r="B31" s="300"/>
      <c r="C31" s="300"/>
      <c r="D31" s="300"/>
      <c r="E31" s="300"/>
      <c r="F31" s="300"/>
      <c r="G31" s="300"/>
      <c r="H31" s="300"/>
    </row>
    <row r="32" spans="1:8" s="253" customFormat="1" ht="13.5">
      <c r="A32" s="299"/>
      <c r="B32" s="299"/>
      <c r="C32" s="299"/>
      <c r="D32" s="299"/>
      <c r="E32" s="299"/>
      <c r="F32" s="299"/>
      <c r="G32" s="299"/>
      <c r="H32" s="299"/>
    </row>
  </sheetData>
  <sheetProtection/>
  <mergeCells count="24">
    <mergeCell ref="A2:Y2"/>
    <mergeCell ref="A3:Y3"/>
    <mergeCell ref="C5:G5"/>
    <mergeCell ref="C6:D6"/>
    <mergeCell ref="A29:Y29"/>
    <mergeCell ref="A6:A9"/>
    <mergeCell ref="B5:B9"/>
    <mergeCell ref="C7:C9"/>
    <mergeCell ref="D7:D9"/>
    <mergeCell ref="E6:E9"/>
    <mergeCell ref="F7:F9"/>
    <mergeCell ref="G6:G9"/>
    <mergeCell ref="H6:H9"/>
    <mergeCell ref="I6:I9"/>
    <mergeCell ref="K6:K9"/>
    <mergeCell ref="L6:L9"/>
    <mergeCell ref="M6:M9"/>
    <mergeCell ref="N6:N9"/>
    <mergeCell ref="U7:U9"/>
    <mergeCell ref="V7:V9"/>
    <mergeCell ref="W5:W9"/>
    <mergeCell ref="X5:X9"/>
    <mergeCell ref="Y5:Y9"/>
    <mergeCell ref="U5:V6"/>
  </mergeCells>
  <dataValidations count="1">
    <dataValidation allowBlank="1" showInputMessage="1" showErrorMessage="1" sqref="D12 D13 C17 C19 C12:C13 C23:C25 D14:D25"/>
  </dataValidations>
  <printOptions/>
  <pageMargins left="0.5902777777777778" right="0.4722222222222222" top="0.7868055555555555" bottom="1.1805555555555556" header="0.5" footer="0.5"/>
  <pageSetup fitToHeight="0" fitToWidth="1" horizontalDpi="600" verticalDpi="600" orientation="portrait" paperSize="9" scale="67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C2:C2"/>
  <sheetViews>
    <sheetView zoomScaleSheetLayoutView="100" workbookViewId="0" topLeftCell="A1">
      <selection activeCell="C7" sqref="C7"/>
    </sheetView>
  </sheetViews>
  <sheetFormatPr defaultColWidth="9.00390625" defaultRowHeight="15"/>
  <cols>
    <col min="3" max="3" width="70.00390625" style="0" customWidth="1"/>
  </cols>
  <sheetData>
    <row r="2" ht="225.75" customHeight="1">
      <c r="C2" s="249" t="s">
        <v>272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46"/>
  <sheetViews>
    <sheetView zoomScale="50" zoomScaleNormal="50" zoomScaleSheetLayoutView="40" workbookViewId="0" topLeftCell="A1">
      <pane ySplit="5" topLeftCell="A6" activePane="bottomLeft" state="frozen"/>
      <selection pane="bottomLeft" activeCell="AS7" sqref="AS7"/>
    </sheetView>
  </sheetViews>
  <sheetFormatPr defaultColWidth="9.7109375" defaultRowHeight="15"/>
  <cols>
    <col min="1" max="1" width="13.8515625" style="9" customWidth="1"/>
    <col min="2" max="2" width="13.57421875" style="22" customWidth="1"/>
    <col min="3" max="3" width="13.140625" style="23" customWidth="1"/>
    <col min="4" max="4" width="13.57421875" style="22" customWidth="1"/>
    <col min="5" max="5" width="8.421875" style="22" hidden="1" customWidth="1"/>
    <col min="6" max="6" width="10.8515625" style="9" customWidth="1"/>
    <col min="7" max="7" width="11.8515625" style="9" customWidth="1"/>
    <col min="8" max="8" width="12.421875" style="67" customWidth="1"/>
    <col min="9" max="9" width="11.140625" style="108" customWidth="1"/>
    <col min="10" max="10" width="11.421875" style="108" customWidth="1"/>
    <col min="11" max="11" width="12.28125" style="109" customWidth="1"/>
    <col min="12" max="12" width="12.00390625" style="110" customWidth="1"/>
    <col min="13" max="13" width="10.00390625" style="110" customWidth="1"/>
    <col min="14" max="14" width="13.140625" style="9" customWidth="1"/>
    <col min="15" max="15" width="6.140625" style="9" hidden="1" customWidth="1"/>
    <col min="16" max="16" width="13.8515625" style="9" hidden="1" customWidth="1"/>
    <col min="17" max="17" width="13.57421875" style="17" hidden="1" customWidth="1"/>
    <col min="18" max="18" width="17.28125" style="18" hidden="1" customWidth="1"/>
    <col min="19" max="19" width="15.00390625" style="17" hidden="1" customWidth="1"/>
    <col min="20" max="21" width="14.421875" style="17" hidden="1" customWidth="1"/>
    <col min="22" max="22" width="14.421875" style="18" hidden="1" customWidth="1"/>
    <col min="23" max="23" width="14.421875" style="17" hidden="1" customWidth="1"/>
    <col min="24" max="25" width="13.57421875" style="17" hidden="1" customWidth="1"/>
    <col min="26" max="26" width="14.421875" style="17" hidden="1" customWidth="1"/>
    <col min="27" max="27" width="14.421875" style="18" hidden="1" customWidth="1"/>
    <col min="28" max="29" width="14.421875" style="17" hidden="1" customWidth="1"/>
    <col min="30" max="30" width="14.421875" style="18" hidden="1" customWidth="1"/>
    <col min="31" max="31" width="14.421875" style="17" hidden="1" customWidth="1"/>
    <col min="32" max="32" width="14.421875" style="18" hidden="1" customWidth="1"/>
    <col min="33" max="35" width="14.421875" style="17" hidden="1" customWidth="1"/>
    <col min="36" max="36" width="33.57421875" style="17" hidden="1" customWidth="1"/>
    <col min="37" max="37" width="11.57421875" style="9" hidden="1" customWidth="1"/>
    <col min="38" max="38" width="10.7109375" style="20" hidden="1" customWidth="1"/>
    <col min="39" max="39" width="9.7109375" style="20" hidden="1" customWidth="1"/>
    <col min="40" max="40" width="9.7109375" style="9" hidden="1" customWidth="1"/>
    <col min="41" max="41" width="10.00390625" style="9" hidden="1" customWidth="1"/>
    <col min="42" max="43" width="9.7109375" style="9" hidden="1" customWidth="1"/>
    <col min="44" max="44" width="9.7109375" style="9" customWidth="1"/>
    <col min="45" max="45" width="17.421875" style="9" customWidth="1"/>
    <col min="46" max="215" width="9.7109375" style="9" customWidth="1"/>
    <col min="216" max="246" width="10.00390625" style="9" bestFit="1" customWidth="1"/>
    <col min="247" max="16384" width="9.7109375" style="9" customWidth="1"/>
  </cols>
  <sheetData>
    <row r="1" spans="1:39" s="22" customFormat="1" ht="33.75" customHeight="1">
      <c r="A1" s="21" t="s">
        <v>0</v>
      </c>
      <c r="C1" s="23"/>
      <c r="F1" s="9"/>
      <c r="G1" s="9"/>
      <c r="H1" s="67"/>
      <c r="I1" s="108"/>
      <c r="J1" s="108"/>
      <c r="K1" s="109"/>
      <c r="L1" s="110"/>
      <c r="M1" s="110"/>
      <c r="Q1" s="161"/>
      <c r="R1" s="161"/>
      <c r="S1" s="161"/>
      <c r="T1" s="161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L1" s="205"/>
      <c r="AM1" s="205"/>
    </row>
    <row r="2" spans="1:39" s="231" customFormat="1" ht="73.5" customHeight="1">
      <c r="A2" s="24" t="s">
        <v>273</v>
      </c>
      <c r="B2" s="25"/>
      <c r="C2" s="26"/>
      <c r="D2" s="25"/>
      <c r="E2" s="25"/>
      <c r="F2" s="25"/>
      <c r="G2" s="25"/>
      <c r="H2" s="68"/>
      <c r="I2" s="25"/>
      <c r="J2" s="25"/>
      <c r="K2" s="68"/>
      <c r="L2" s="111"/>
      <c r="M2" s="111"/>
      <c r="N2" s="111"/>
      <c r="P2" s="137" t="s">
        <v>274</v>
      </c>
      <c r="Q2" s="162" t="s">
        <v>40</v>
      </c>
      <c r="R2" s="162"/>
      <c r="S2" s="162"/>
      <c r="T2" s="162"/>
      <c r="U2" s="162"/>
      <c r="V2" s="241" t="s">
        <v>275</v>
      </c>
      <c r="W2" s="242" t="s">
        <v>276</v>
      </c>
      <c r="X2" s="192"/>
      <c r="Y2" s="192"/>
      <c r="Z2" s="192"/>
      <c r="AA2" s="193"/>
      <c r="AB2" s="192"/>
      <c r="AC2" s="192"/>
      <c r="AD2" s="193"/>
      <c r="AE2" s="192"/>
      <c r="AF2" s="193"/>
      <c r="AG2" s="192"/>
      <c r="AH2" s="192"/>
      <c r="AI2" s="192"/>
      <c r="AJ2" s="204"/>
      <c r="AL2" s="206"/>
      <c r="AM2" s="206"/>
    </row>
    <row r="3" spans="1:43" s="231" customFormat="1" ht="51.75" customHeight="1">
      <c r="A3" s="27" t="s">
        <v>277</v>
      </c>
      <c r="B3" s="28" t="s">
        <v>278</v>
      </c>
      <c r="C3" s="29"/>
      <c r="D3" s="29"/>
      <c r="E3" s="29"/>
      <c r="F3" s="69" t="s">
        <v>279</v>
      </c>
      <c r="G3" s="70"/>
      <c r="H3" s="71"/>
      <c r="I3" s="29" t="s">
        <v>280</v>
      </c>
      <c r="J3" s="29"/>
      <c r="K3" s="112"/>
      <c r="L3" s="113" t="s">
        <v>281</v>
      </c>
      <c r="M3" s="138"/>
      <c r="N3" s="139"/>
      <c r="P3" s="140" t="s">
        <v>41</v>
      </c>
      <c r="Q3" s="163" t="s">
        <v>44</v>
      </c>
      <c r="R3" s="164" t="s">
        <v>282</v>
      </c>
      <c r="S3" s="163" t="s">
        <v>46</v>
      </c>
      <c r="T3" s="163" t="s">
        <v>47</v>
      </c>
      <c r="U3" s="181" t="s">
        <v>283</v>
      </c>
      <c r="V3" s="243" t="s">
        <v>284</v>
      </c>
      <c r="W3" s="243"/>
      <c r="X3" s="243"/>
      <c r="Y3" s="243"/>
      <c r="Z3" s="244"/>
      <c r="AA3" s="245" t="s">
        <v>285</v>
      </c>
      <c r="AB3" s="245"/>
      <c r="AC3" s="245"/>
      <c r="AD3" s="245"/>
      <c r="AE3" s="245"/>
      <c r="AF3" s="245"/>
      <c r="AG3" s="245"/>
      <c r="AH3" s="245"/>
      <c r="AI3" s="171" t="s">
        <v>20</v>
      </c>
      <c r="AJ3" s="165" t="s">
        <v>49</v>
      </c>
      <c r="AL3" s="206"/>
      <c r="AM3" s="206"/>
      <c r="AQ3" s="231" t="s">
        <v>286</v>
      </c>
    </row>
    <row r="4" spans="1:39" s="231" customFormat="1" ht="99" customHeight="1">
      <c r="A4" s="30"/>
      <c r="B4" s="31" t="s">
        <v>287</v>
      </c>
      <c r="C4" s="32" t="s">
        <v>288</v>
      </c>
      <c r="D4" s="33" t="s">
        <v>289</v>
      </c>
      <c r="E4" s="72" t="s">
        <v>290</v>
      </c>
      <c r="F4" s="73" t="s">
        <v>291</v>
      </c>
      <c r="G4" s="74" t="s">
        <v>57</v>
      </c>
      <c r="H4" s="75" t="s">
        <v>292</v>
      </c>
      <c r="I4" s="114" t="s">
        <v>291</v>
      </c>
      <c r="J4" s="115" t="s">
        <v>293</v>
      </c>
      <c r="K4" s="75" t="s">
        <v>292</v>
      </c>
      <c r="L4" s="116" t="s">
        <v>291</v>
      </c>
      <c r="M4" s="74" t="s">
        <v>294</v>
      </c>
      <c r="N4" s="141" t="s">
        <v>292</v>
      </c>
      <c r="P4" s="142"/>
      <c r="Q4" s="165"/>
      <c r="R4" s="166"/>
      <c r="S4" s="165"/>
      <c r="T4" s="165"/>
      <c r="U4" s="183"/>
      <c r="V4" s="243"/>
      <c r="W4" s="243"/>
      <c r="X4" s="243"/>
      <c r="Y4" s="243"/>
      <c r="Z4" s="246" t="s">
        <v>295</v>
      </c>
      <c r="AA4" s="243" t="s">
        <v>296</v>
      </c>
      <c r="AB4" s="243"/>
      <c r="AC4" s="243"/>
      <c r="AD4" s="243" t="s">
        <v>297</v>
      </c>
      <c r="AE4" s="165"/>
      <c r="AF4" s="243" t="s">
        <v>298</v>
      </c>
      <c r="AG4" s="243"/>
      <c r="AH4" s="243"/>
      <c r="AI4" s="183"/>
      <c r="AJ4" s="165"/>
      <c r="AL4" s="206"/>
      <c r="AM4" s="206"/>
    </row>
    <row r="5" spans="1:39" s="146" customFormat="1" ht="12.75" customHeight="1">
      <c r="A5" s="34"/>
      <c r="B5" s="35"/>
      <c r="C5" s="36"/>
      <c r="D5" s="37"/>
      <c r="E5" s="76"/>
      <c r="F5" s="77"/>
      <c r="G5" s="78"/>
      <c r="H5" s="79"/>
      <c r="I5" s="117"/>
      <c r="J5" s="118"/>
      <c r="K5" s="79"/>
      <c r="L5" s="119"/>
      <c r="M5" s="78"/>
      <c r="N5" s="143"/>
      <c r="P5" s="144"/>
      <c r="Q5" s="165"/>
      <c r="R5" s="166"/>
      <c r="S5" s="165"/>
      <c r="T5" s="165"/>
      <c r="U5" s="163"/>
      <c r="V5" s="243"/>
      <c r="W5" s="243"/>
      <c r="X5" s="243"/>
      <c r="Y5" s="243"/>
      <c r="Z5" s="247"/>
      <c r="AA5" s="243"/>
      <c r="AB5" s="243"/>
      <c r="AC5" s="243"/>
      <c r="AD5" s="166"/>
      <c r="AE5" s="165"/>
      <c r="AF5" s="243"/>
      <c r="AG5" s="243"/>
      <c r="AH5" s="243"/>
      <c r="AI5" s="163"/>
      <c r="AJ5" s="165"/>
      <c r="AL5" s="207"/>
      <c r="AM5" s="207"/>
    </row>
    <row r="6" spans="1:39" s="146" customFormat="1" ht="48.75" customHeight="1">
      <c r="A6" s="38" t="s">
        <v>299</v>
      </c>
      <c r="B6" s="39" t="s">
        <v>300</v>
      </c>
      <c r="C6" s="40" t="s">
        <v>301</v>
      </c>
      <c r="D6" s="41" t="s">
        <v>16</v>
      </c>
      <c r="E6" s="80">
        <v>4</v>
      </c>
      <c r="F6" s="81">
        <v>5</v>
      </c>
      <c r="G6" s="41">
        <v>6</v>
      </c>
      <c r="H6" s="82" t="s">
        <v>302</v>
      </c>
      <c r="I6" s="39">
        <v>8</v>
      </c>
      <c r="J6" s="41">
        <v>9</v>
      </c>
      <c r="K6" s="120" t="s">
        <v>303</v>
      </c>
      <c r="L6" s="39">
        <v>11</v>
      </c>
      <c r="M6" s="41">
        <v>12</v>
      </c>
      <c r="N6" s="145" t="s">
        <v>304</v>
      </c>
      <c r="P6" s="147"/>
      <c r="Q6" s="165">
        <v>1</v>
      </c>
      <c r="R6" s="166">
        <v>2</v>
      </c>
      <c r="S6" s="165">
        <v>3</v>
      </c>
      <c r="T6" s="165">
        <v>4</v>
      </c>
      <c r="U6" s="165"/>
      <c r="V6" s="184" t="s">
        <v>305</v>
      </c>
      <c r="W6" s="185" t="s">
        <v>306</v>
      </c>
      <c r="X6" s="186" t="s">
        <v>307</v>
      </c>
      <c r="Y6" s="199" t="s">
        <v>20</v>
      </c>
      <c r="Z6" s="163"/>
      <c r="AA6" s="166" t="s">
        <v>305</v>
      </c>
      <c r="AB6" s="165" t="s">
        <v>306</v>
      </c>
      <c r="AC6" s="165" t="s">
        <v>307</v>
      </c>
      <c r="AD6" s="166" t="s">
        <v>305</v>
      </c>
      <c r="AE6" s="165" t="s">
        <v>306</v>
      </c>
      <c r="AF6" s="166" t="s">
        <v>305</v>
      </c>
      <c r="AG6" s="165" t="s">
        <v>306</v>
      </c>
      <c r="AH6" s="165" t="s">
        <v>307</v>
      </c>
      <c r="AI6" s="165"/>
      <c r="AJ6" s="165"/>
      <c r="AL6" s="207"/>
      <c r="AM6" s="207"/>
    </row>
    <row r="7" spans="1:39" s="146" customFormat="1" ht="49.5" customHeight="1">
      <c r="A7" s="42" t="s">
        <v>308</v>
      </c>
      <c r="B7" s="43">
        <v>69850</v>
      </c>
      <c r="C7" s="232">
        <f>C8</f>
        <v>62812</v>
      </c>
      <c r="D7" s="45">
        <f aca="true" t="shared" si="0" ref="D7:D24">C7/B7</f>
        <v>0.8992412312097351</v>
      </c>
      <c r="E7" s="83" t="s">
        <v>21</v>
      </c>
      <c r="F7" s="84" t="s">
        <v>21</v>
      </c>
      <c r="G7" s="85" t="s">
        <v>21</v>
      </c>
      <c r="H7" s="86" t="s">
        <v>21</v>
      </c>
      <c r="I7" s="121" t="s">
        <v>21</v>
      </c>
      <c r="J7" s="85" t="s">
        <v>21</v>
      </c>
      <c r="K7" s="86" t="s">
        <v>21</v>
      </c>
      <c r="L7" s="122" t="s">
        <v>21</v>
      </c>
      <c r="M7" s="148" t="s">
        <v>21</v>
      </c>
      <c r="N7" s="149" t="s">
        <v>21</v>
      </c>
      <c r="P7" s="150" t="s">
        <v>64</v>
      </c>
      <c r="Q7" s="165"/>
      <c r="R7" s="166"/>
      <c r="S7" s="165"/>
      <c r="T7" s="165"/>
      <c r="U7" s="165"/>
      <c r="V7" s="184"/>
      <c r="W7" s="185"/>
      <c r="X7" s="185"/>
      <c r="Y7" s="200"/>
      <c r="Z7" s="165"/>
      <c r="AA7" s="166"/>
      <c r="AB7" s="165"/>
      <c r="AC7" s="165"/>
      <c r="AD7" s="166"/>
      <c r="AE7" s="165"/>
      <c r="AF7" s="166"/>
      <c r="AG7" s="165"/>
      <c r="AH7" s="165"/>
      <c r="AI7" s="165"/>
      <c r="AJ7" s="165"/>
      <c r="AL7" s="207"/>
      <c r="AM7" s="207"/>
    </row>
    <row r="8" spans="1:45" s="146" customFormat="1" ht="49.5" customHeight="1">
      <c r="A8" s="42" t="s">
        <v>309</v>
      </c>
      <c r="B8" s="46">
        <f>B9+B10+B11+B12+B14+B16+B17+B15+B18+B19+B20+B22</f>
        <v>69850</v>
      </c>
      <c r="C8" s="47">
        <f>C9+C10+C11+C12+C14+C16+C17+C15+C18+C19+C20+C22+1000</f>
        <v>62812</v>
      </c>
      <c r="D8" s="48">
        <f t="shared" si="0"/>
        <v>0.8992412312097351</v>
      </c>
      <c r="E8" s="83" t="s">
        <v>21</v>
      </c>
      <c r="F8" s="87">
        <f>SUM(F9:F22)</f>
        <v>10659</v>
      </c>
      <c r="G8" s="47">
        <f>G9+G10+G11+G12+G14+G16+G17+G15+G18+G19+G20+G22</f>
        <v>8062</v>
      </c>
      <c r="H8" s="86">
        <f>G8/F8</f>
        <v>0.756356130969134</v>
      </c>
      <c r="I8" s="121">
        <f>SUM(I9:I22)</f>
        <v>19072</v>
      </c>
      <c r="J8" s="47">
        <f>J9+J10+J11+J12+J14+J16+J17+J15+J18+J19+J20+J22</f>
        <v>19001</v>
      </c>
      <c r="K8" s="86">
        <f>J8/I8</f>
        <v>0.9962772651006712</v>
      </c>
      <c r="L8" s="43">
        <f>SUM(L9:L22)</f>
        <v>40119</v>
      </c>
      <c r="M8" s="47">
        <f>M9+M10+M11+M12+M14+M16+M17+M15+M18+M19+M20+M22</f>
        <v>34749</v>
      </c>
      <c r="N8" s="149">
        <f>M8/L8</f>
        <v>0.866148209077993</v>
      </c>
      <c r="P8" s="150" t="s">
        <v>65</v>
      </c>
      <c r="Q8" s="165"/>
      <c r="R8" s="165"/>
      <c r="S8" s="165"/>
      <c r="T8" s="165"/>
      <c r="U8" s="165">
        <f>SUM(U9:U24)</f>
        <v>148551</v>
      </c>
      <c r="V8" s="165">
        <f aca="true" t="shared" si="1" ref="V8:AB8">SUM(V9:V22)</f>
        <v>30808</v>
      </c>
      <c r="W8" s="165">
        <f t="shared" si="1"/>
        <v>85125</v>
      </c>
      <c r="X8" s="166"/>
      <c r="Y8" s="166">
        <f t="shared" si="1"/>
        <v>115933</v>
      </c>
      <c r="Z8" s="166">
        <f t="shared" si="1"/>
        <v>6180</v>
      </c>
      <c r="AA8" s="166">
        <f t="shared" si="1"/>
        <v>142</v>
      </c>
      <c r="AB8" s="166">
        <f t="shared" si="1"/>
        <v>857</v>
      </c>
      <c r="AC8" s="166">
        <v>542</v>
      </c>
      <c r="AD8" s="166">
        <f>SUM(AD9:AD22)</f>
        <v>0</v>
      </c>
      <c r="AE8" s="166">
        <f>SUM(AE9:AE22)</f>
        <v>0</v>
      </c>
      <c r="AF8" s="166">
        <f>SUM(AF9:AF22)</f>
        <v>3479</v>
      </c>
      <c r="AG8" s="166">
        <f>SUM(AG9:AG22)</f>
        <v>1702</v>
      </c>
      <c r="AH8" s="166">
        <f>SUM(AH9:AH22)</f>
        <v>638</v>
      </c>
      <c r="AI8" s="165"/>
      <c r="AJ8" s="165">
        <f>SUM(AJ9:AJ22)</f>
        <v>23572</v>
      </c>
      <c r="AL8" s="208"/>
      <c r="AM8" s="208"/>
      <c r="AN8" s="209"/>
      <c r="AO8" s="209"/>
      <c r="AP8" s="209"/>
      <c r="AQ8" s="209"/>
      <c r="AS8" s="209"/>
    </row>
    <row r="9" spans="1:49" s="6" customFormat="1" ht="45.75" customHeight="1">
      <c r="A9" s="49" t="s">
        <v>22</v>
      </c>
      <c r="B9" s="43">
        <f>F9+I9+L9</f>
        <v>5627</v>
      </c>
      <c r="C9" s="50">
        <f>G9+J9+M9</f>
        <v>5627</v>
      </c>
      <c r="D9" s="45">
        <f t="shared" si="0"/>
        <v>1</v>
      </c>
      <c r="E9" s="83">
        <v>10</v>
      </c>
      <c r="F9" s="88">
        <v>542</v>
      </c>
      <c r="G9" s="89">
        <v>542</v>
      </c>
      <c r="H9" s="86">
        <f>G9/F9</f>
        <v>1</v>
      </c>
      <c r="I9" s="123">
        <v>1999</v>
      </c>
      <c r="J9" s="124">
        <v>1999</v>
      </c>
      <c r="K9" s="86">
        <f>J9/I9</f>
        <v>1</v>
      </c>
      <c r="L9" s="125">
        <v>3086</v>
      </c>
      <c r="M9" s="151">
        <v>3086</v>
      </c>
      <c r="N9" s="149">
        <f>M9/L9</f>
        <v>1</v>
      </c>
      <c r="P9" s="150" t="s">
        <v>22</v>
      </c>
      <c r="Q9" s="165">
        <v>4526</v>
      </c>
      <c r="R9" s="166">
        <v>2525</v>
      </c>
      <c r="S9" s="165">
        <v>1999</v>
      </c>
      <c r="T9" s="165">
        <v>1881</v>
      </c>
      <c r="U9" s="165">
        <f aca="true" t="shared" si="2" ref="U9:U24">Q9+R9+S9</f>
        <v>9050</v>
      </c>
      <c r="V9" s="166">
        <v>2361</v>
      </c>
      <c r="W9" s="165">
        <v>4526</v>
      </c>
      <c r="X9" s="165"/>
      <c r="Y9" s="165">
        <f aca="true" t="shared" si="3" ref="Y9:Y22">V9+W9</f>
        <v>6887</v>
      </c>
      <c r="Z9" s="165">
        <f aca="true" t="shared" si="4" ref="Z9:Z22">AA9+AB9+AD9+AE9+AF9+AG9</f>
        <v>164</v>
      </c>
      <c r="AA9" s="166">
        <v>0</v>
      </c>
      <c r="AB9" s="165">
        <v>0</v>
      </c>
      <c r="AC9" s="165"/>
      <c r="AD9" s="166">
        <v>0</v>
      </c>
      <c r="AE9" s="165">
        <v>0</v>
      </c>
      <c r="AF9" s="166">
        <v>164</v>
      </c>
      <c r="AG9" s="165">
        <v>0</v>
      </c>
      <c r="AH9" s="165">
        <v>64</v>
      </c>
      <c r="AI9" s="165">
        <f aca="true" t="shared" si="5" ref="AI9:AI22">V9+W9+AA9+AB9+AD9+AE9+AF9+AG9</f>
        <v>7051</v>
      </c>
      <c r="AJ9" s="165">
        <v>2525</v>
      </c>
      <c r="AL9" s="210"/>
      <c r="AM9" s="211"/>
      <c r="AN9" s="212">
        <v>7051</v>
      </c>
      <c r="AO9" s="211">
        <f aca="true" t="shared" si="6" ref="AO9:AO22">G9-AN9</f>
        <v>-6509</v>
      </c>
      <c r="AP9" s="212"/>
      <c r="AQ9" s="212"/>
      <c r="AR9" s="221"/>
      <c r="AS9" s="221"/>
      <c r="AU9" s="209"/>
      <c r="AW9" s="230"/>
    </row>
    <row r="10" spans="1:49" s="6" customFormat="1" ht="45.75" customHeight="1">
      <c r="A10" s="49" t="s">
        <v>23</v>
      </c>
      <c r="B10" s="43">
        <f>F10+I10+L10</f>
        <v>6462</v>
      </c>
      <c r="C10" s="47">
        <f>G10+J10+M10</f>
        <v>6462</v>
      </c>
      <c r="D10" s="45">
        <f t="shared" si="0"/>
        <v>1</v>
      </c>
      <c r="E10" s="83">
        <v>1</v>
      </c>
      <c r="F10" s="88">
        <v>0</v>
      </c>
      <c r="G10" s="89">
        <v>0</v>
      </c>
      <c r="H10" s="86" t="s">
        <v>21</v>
      </c>
      <c r="I10" s="126">
        <v>1128</v>
      </c>
      <c r="J10" s="124">
        <v>1128</v>
      </c>
      <c r="K10" s="86">
        <f>J10/I10</f>
        <v>1</v>
      </c>
      <c r="L10" s="125">
        <v>5334</v>
      </c>
      <c r="M10" s="151">
        <v>5334</v>
      </c>
      <c r="N10" s="149">
        <f>M10/L10</f>
        <v>1</v>
      </c>
      <c r="P10" s="150" t="s">
        <v>23</v>
      </c>
      <c r="Q10" s="165">
        <v>8809</v>
      </c>
      <c r="R10" s="166">
        <v>2252</v>
      </c>
      <c r="S10" s="165">
        <v>1128</v>
      </c>
      <c r="T10" s="165">
        <v>1534</v>
      </c>
      <c r="U10" s="165">
        <f t="shared" si="2"/>
        <v>12189</v>
      </c>
      <c r="V10" s="166">
        <v>2252</v>
      </c>
      <c r="W10" s="165">
        <v>7782</v>
      </c>
      <c r="X10" s="165">
        <v>1197</v>
      </c>
      <c r="Y10" s="165">
        <f t="shared" si="3"/>
        <v>10034</v>
      </c>
      <c r="Z10" s="165">
        <f t="shared" si="4"/>
        <v>1027</v>
      </c>
      <c r="AA10" s="166">
        <v>0</v>
      </c>
      <c r="AB10" s="165">
        <v>0</v>
      </c>
      <c r="AC10" s="165"/>
      <c r="AD10" s="166">
        <v>0</v>
      </c>
      <c r="AE10" s="165">
        <v>0</v>
      </c>
      <c r="AF10" s="166">
        <v>0</v>
      </c>
      <c r="AG10" s="165">
        <v>1027</v>
      </c>
      <c r="AH10" s="165"/>
      <c r="AI10" s="165">
        <f t="shared" si="5"/>
        <v>11061</v>
      </c>
      <c r="AJ10" s="165">
        <v>2252</v>
      </c>
      <c r="AK10" s="213"/>
      <c r="AL10" s="210"/>
      <c r="AM10" s="214"/>
      <c r="AN10" s="212">
        <v>11061</v>
      </c>
      <c r="AO10" s="211">
        <f t="shared" si="6"/>
        <v>-11061</v>
      </c>
      <c r="AP10" s="212"/>
      <c r="AQ10" s="212"/>
      <c r="AR10" s="230"/>
      <c r="AW10" s="221"/>
    </row>
    <row r="11" spans="1:49" s="6" customFormat="1" ht="45.75" customHeight="1">
      <c r="A11" s="42" t="s">
        <v>310</v>
      </c>
      <c r="B11" s="43">
        <f>F11+I11+L11</f>
        <v>7693</v>
      </c>
      <c r="C11" s="47">
        <f>G11+M11</f>
        <v>7693</v>
      </c>
      <c r="D11" s="45">
        <f t="shared" si="0"/>
        <v>1</v>
      </c>
      <c r="E11" s="83">
        <v>5</v>
      </c>
      <c r="F11" s="90">
        <v>2008</v>
      </c>
      <c r="G11" s="89">
        <v>2008</v>
      </c>
      <c r="H11" s="92">
        <f>G11/F11</f>
        <v>1</v>
      </c>
      <c r="I11" s="126">
        <v>0</v>
      </c>
      <c r="J11" s="124">
        <v>0</v>
      </c>
      <c r="K11" s="86" t="s">
        <v>21</v>
      </c>
      <c r="L11" s="125">
        <f>5290+200+195</f>
        <v>5685</v>
      </c>
      <c r="M11" s="151">
        <v>5685</v>
      </c>
      <c r="N11" s="149">
        <f>M11/L11</f>
        <v>1</v>
      </c>
      <c r="P11" s="150" t="s">
        <v>24</v>
      </c>
      <c r="Q11" s="165">
        <v>3549</v>
      </c>
      <c r="R11" s="166">
        <v>2435</v>
      </c>
      <c r="S11" s="165"/>
      <c r="T11" s="165">
        <v>1992</v>
      </c>
      <c r="U11" s="165">
        <f t="shared" si="2"/>
        <v>5984</v>
      </c>
      <c r="V11" s="166">
        <v>994</v>
      </c>
      <c r="W11" s="165">
        <v>3101</v>
      </c>
      <c r="X11" s="165">
        <v>1940</v>
      </c>
      <c r="Y11" s="165">
        <f t="shared" si="3"/>
        <v>4095</v>
      </c>
      <c r="Z11" s="165">
        <f t="shared" si="4"/>
        <v>1889</v>
      </c>
      <c r="AA11" s="166">
        <v>0</v>
      </c>
      <c r="AB11" s="165">
        <v>0</v>
      </c>
      <c r="AC11" s="165"/>
      <c r="AD11" s="166">
        <v>0</v>
      </c>
      <c r="AE11" s="165">
        <v>0</v>
      </c>
      <c r="AF11" s="173">
        <v>1441</v>
      </c>
      <c r="AG11" s="172">
        <v>448</v>
      </c>
      <c r="AH11" s="165">
        <v>52</v>
      </c>
      <c r="AI11" s="165">
        <f t="shared" si="5"/>
        <v>5984</v>
      </c>
      <c r="AJ11" s="165">
        <v>2369</v>
      </c>
      <c r="AL11" s="210"/>
      <c r="AM11" s="214"/>
      <c r="AN11" s="212">
        <v>5984</v>
      </c>
      <c r="AO11" s="211">
        <f t="shared" si="6"/>
        <v>-3976</v>
      </c>
      <c r="AP11" s="212"/>
      <c r="AQ11" s="212">
        <v>395</v>
      </c>
      <c r="AR11" s="221"/>
      <c r="AW11" s="223"/>
    </row>
    <row r="12" spans="1:49" s="6" customFormat="1" ht="45.75" customHeight="1">
      <c r="A12" s="49" t="s">
        <v>25</v>
      </c>
      <c r="B12" s="43">
        <f>F12+I12+L12</f>
        <v>8961</v>
      </c>
      <c r="C12" s="47">
        <f>G12+J12+M12</f>
        <v>8961</v>
      </c>
      <c r="D12" s="45">
        <f t="shared" si="0"/>
        <v>1</v>
      </c>
      <c r="E12" s="83">
        <v>6</v>
      </c>
      <c r="F12" s="88">
        <v>2999</v>
      </c>
      <c r="G12" s="89">
        <v>2999</v>
      </c>
      <c r="H12" s="86">
        <f>G12/F12</f>
        <v>1</v>
      </c>
      <c r="I12" s="123">
        <v>333</v>
      </c>
      <c r="J12" s="124">
        <v>333</v>
      </c>
      <c r="K12" s="86">
        <f>J12/I12</f>
        <v>1</v>
      </c>
      <c r="L12" s="125">
        <v>5629</v>
      </c>
      <c r="M12" s="151">
        <v>5629</v>
      </c>
      <c r="N12" s="149">
        <f>M12/L12</f>
        <v>1</v>
      </c>
      <c r="P12" s="150" t="s">
        <v>25</v>
      </c>
      <c r="Q12" s="165">
        <v>2291</v>
      </c>
      <c r="R12" s="166">
        <v>1860</v>
      </c>
      <c r="S12" s="162">
        <v>365</v>
      </c>
      <c r="T12" s="165">
        <v>3637</v>
      </c>
      <c r="U12" s="165">
        <f t="shared" si="2"/>
        <v>4516</v>
      </c>
      <c r="V12" s="166">
        <v>719</v>
      </c>
      <c r="W12" s="165">
        <v>2220</v>
      </c>
      <c r="X12" s="165">
        <v>3627</v>
      </c>
      <c r="Y12" s="165">
        <f t="shared" si="3"/>
        <v>2939</v>
      </c>
      <c r="Z12" s="165">
        <f t="shared" si="4"/>
        <v>1212</v>
      </c>
      <c r="AA12" s="166">
        <v>0</v>
      </c>
      <c r="AB12" s="165">
        <v>0</v>
      </c>
      <c r="AC12" s="165"/>
      <c r="AD12" s="166">
        <v>0</v>
      </c>
      <c r="AE12" s="165">
        <v>0</v>
      </c>
      <c r="AF12" s="173">
        <v>1141</v>
      </c>
      <c r="AG12" s="172">
        <v>71</v>
      </c>
      <c r="AH12" s="165">
        <v>10</v>
      </c>
      <c r="AI12" s="165">
        <f t="shared" si="5"/>
        <v>4151</v>
      </c>
      <c r="AJ12" s="165">
        <v>0</v>
      </c>
      <c r="AK12" s="215" t="s">
        <v>69</v>
      </c>
      <c r="AL12" s="210"/>
      <c r="AM12" s="211"/>
      <c r="AN12" s="212">
        <v>4151</v>
      </c>
      <c r="AO12" s="211">
        <f t="shared" si="6"/>
        <v>-1152</v>
      </c>
      <c r="AP12" s="212"/>
      <c r="AQ12" s="212"/>
      <c r="AR12" s="221"/>
      <c r="AW12" s="221"/>
    </row>
    <row r="13" spans="1:49" s="6" customFormat="1" ht="45.75" customHeight="1">
      <c r="A13" s="42" t="s">
        <v>311</v>
      </c>
      <c r="B13" s="43">
        <v>1957</v>
      </c>
      <c r="C13" s="47">
        <v>1151</v>
      </c>
      <c r="D13" s="45">
        <f t="shared" si="0"/>
        <v>0.5881451200817578</v>
      </c>
      <c r="E13" s="83" t="s">
        <v>21</v>
      </c>
      <c r="F13" s="88">
        <v>0</v>
      </c>
      <c r="G13" s="89">
        <v>0</v>
      </c>
      <c r="H13" s="86" t="s">
        <v>21</v>
      </c>
      <c r="I13" s="126">
        <v>0</v>
      </c>
      <c r="J13" s="124">
        <v>0</v>
      </c>
      <c r="K13" s="86" t="s">
        <v>21</v>
      </c>
      <c r="L13" s="125">
        <v>0</v>
      </c>
      <c r="M13" s="151">
        <v>0</v>
      </c>
      <c r="N13" s="149" t="s">
        <v>21</v>
      </c>
      <c r="P13" s="150" t="s">
        <v>26</v>
      </c>
      <c r="Q13" s="165"/>
      <c r="R13" s="166">
        <v>241</v>
      </c>
      <c r="S13" s="165"/>
      <c r="T13" s="165">
        <v>353</v>
      </c>
      <c r="U13" s="165">
        <f t="shared" si="2"/>
        <v>241</v>
      </c>
      <c r="V13" s="166">
        <v>241</v>
      </c>
      <c r="W13" s="165">
        <v>0</v>
      </c>
      <c r="X13" s="165">
        <v>353</v>
      </c>
      <c r="Y13" s="165">
        <f t="shared" si="3"/>
        <v>241</v>
      </c>
      <c r="Z13" s="165">
        <f t="shared" si="4"/>
        <v>0</v>
      </c>
      <c r="AA13" s="166">
        <v>0</v>
      </c>
      <c r="AB13" s="165">
        <v>0</v>
      </c>
      <c r="AC13" s="165"/>
      <c r="AD13" s="166">
        <v>0</v>
      </c>
      <c r="AE13" s="165">
        <v>0</v>
      </c>
      <c r="AF13" s="166">
        <v>0</v>
      </c>
      <c r="AG13" s="165">
        <v>0</v>
      </c>
      <c r="AH13" s="165"/>
      <c r="AI13" s="165">
        <f t="shared" si="5"/>
        <v>241</v>
      </c>
      <c r="AJ13" s="165">
        <v>241</v>
      </c>
      <c r="AL13" s="210"/>
      <c r="AM13" s="214"/>
      <c r="AN13" s="212">
        <v>241</v>
      </c>
      <c r="AO13" s="211">
        <f t="shared" si="6"/>
        <v>-241</v>
      </c>
      <c r="AP13" s="212"/>
      <c r="AQ13" s="212"/>
      <c r="AR13" s="221"/>
      <c r="AW13" s="221"/>
    </row>
    <row r="14" spans="1:44" s="6" customFormat="1" ht="45.75" customHeight="1">
      <c r="A14" s="42" t="s">
        <v>312</v>
      </c>
      <c r="B14" s="43">
        <f aca="true" t="shared" si="7" ref="B14:B20">F14+I14+L14</f>
        <v>1170</v>
      </c>
      <c r="C14" s="47">
        <f aca="true" t="shared" si="8" ref="C14:C20">G14+J14+M14</f>
        <v>1170</v>
      </c>
      <c r="D14" s="45">
        <f t="shared" si="0"/>
        <v>1</v>
      </c>
      <c r="E14" s="83">
        <v>12</v>
      </c>
      <c r="F14" s="88">
        <v>0</v>
      </c>
      <c r="G14" s="89">
        <v>0</v>
      </c>
      <c r="H14" s="86" t="s">
        <v>21</v>
      </c>
      <c r="I14" s="126">
        <v>0</v>
      </c>
      <c r="J14" s="124">
        <v>0</v>
      </c>
      <c r="K14" s="86" t="s">
        <v>21</v>
      </c>
      <c r="L14" s="125">
        <v>1170</v>
      </c>
      <c r="M14" s="151">
        <v>1170</v>
      </c>
      <c r="N14" s="149">
        <f aca="true" t="shared" si="9" ref="N14:N20">M14/L14</f>
        <v>1</v>
      </c>
      <c r="P14" s="150" t="s">
        <v>27</v>
      </c>
      <c r="Q14" s="165">
        <v>1514</v>
      </c>
      <c r="R14" s="166"/>
      <c r="S14" s="165"/>
      <c r="T14" s="165">
        <v>0</v>
      </c>
      <c r="U14" s="165">
        <f t="shared" si="2"/>
        <v>1514</v>
      </c>
      <c r="V14" s="166"/>
      <c r="W14" s="165">
        <v>1514</v>
      </c>
      <c r="X14" s="165"/>
      <c r="Y14" s="165">
        <f t="shared" si="3"/>
        <v>1514</v>
      </c>
      <c r="Z14" s="165">
        <f t="shared" si="4"/>
        <v>0</v>
      </c>
      <c r="AA14" s="166"/>
      <c r="AB14" s="165"/>
      <c r="AC14" s="165"/>
      <c r="AD14" s="166"/>
      <c r="AE14" s="165"/>
      <c r="AF14" s="166"/>
      <c r="AG14" s="165"/>
      <c r="AH14" s="165"/>
      <c r="AI14" s="165">
        <f t="shared" si="5"/>
        <v>1514</v>
      </c>
      <c r="AJ14" s="165"/>
      <c r="AL14" s="210"/>
      <c r="AM14" s="214"/>
      <c r="AN14" s="212">
        <v>1514</v>
      </c>
      <c r="AO14" s="211">
        <f t="shared" si="6"/>
        <v>-1514</v>
      </c>
      <c r="AP14" s="212"/>
      <c r="AQ14" s="212"/>
      <c r="AR14" s="221"/>
    </row>
    <row r="15" spans="1:45" s="6" customFormat="1" ht="45.75" customHeight="1">
      <c r="A15" s="42" t="s">
        <v>313</v>
      </c>
      <c r="B15" s="43">
        <f t="shared" si="7"/>
        <v>4389</v>
      </c>
      <c r="C15" s="47">
        <f t="shared" si="8"/>
        <v>4232</v>
      </c>
      <c r="D15" s="45">
        <f t="shared" si="0"/>
        <v>0.9642287537024379</v>
      </c>
      <c r="E15" s="83">
        <v>3</v>
      </c>
      <c r="F15" s="88">
        <v>0</v>
      </c>
      <c r="G15" s="89">
        <v>0</v>
      </c>
      <c r="H15" s="86" t="s">
        <v>21</v>
      </c>
      <c r="I15" s="123">
        <v>3079</v>
      </c>
      <c r="J15" s="124">
        <f>3079-48</f>
        <v>3031</v>
      </c>
      <c r="K15" s="86">
        <f>J15/I15</f>
        <v>0.9844105228970444</v>
      </c>
      <c r="L15" s="125">
        <v>1310</v>
      </c>
      <c r="M15" s="151">
        <f>1310-109</f>
        <v>1201</v>
      </c>
      <c r="N15" s="149">
        <f t="shared" si="9"/>
        <v>0.916793893129771</v>
      </c>
      <c r="P15" s="150" t="s">
        <v>28</v>
      </c>
      <c r="Q15" s="165">
        <v>5073</v>
      </c>
      <c r="R15" s="166">
        <v>1718</v>
      </c>
      <c r="S15" s="165">
        <v>3079</v>
      </c>
      <c r="T15" s="165">
        <v>343</v>
      </c>
      <c r="U15" s="165">
        <f t="shared" si="2"/>
        <v>9870</v>
      </c>
      <c r="V15" s="166">
        <v>1685</v>
      </c>
      <c r="W15" s="165">
        <v>4947</v>
      </c>
      <c r="X15" s="165">
        <v>343</v>
      </c>
      <c r="Y15" s="165">
        <f t="shared" si="3"/>
        <v>6632</v>
      </c>
      <c r="Z15" s="165">
        <f t="shared" si="4"/>
        <v>159</v>
      </c>
      <c r="AA15" s="166"/>
      <c r="AB15" s="165"/>
      <c r="AC15" s="165"/>
      <c r="AD15" s="166"/>
      <c r="AE15" s="165"/>
      <c r="AF15" s="173">
        <v>33</v>
      </c>
      <c r="AG15" s="172">
        <v>126</v>
      </c>
      <c r="AH15" s="165"/>
      <c r="AI15" s="165">
        <f t="shared" si="5"/>
        <v>6791</v>
      </c>
      <c r="AJ15" s="165">
        <v>188</v>
      </c>
      <c r="AL15" s="210"/>
      <c r="AM15" s="214"/>
      <c r="AN15" s="212">
        <v>6791</v>
      </c>
      <c r="AO15" s="211">
        <f t="shared" si="6"/>
        <v>-6791</v>
      </c>
      <c r="AP15" s="212"/>
      <c r="AQ15" s="212"/>
      <c r="AR15" s="221"/>
      <c r="AS15" s="221"/>
    </row>
    <row r="16" spans="1:46" s="7" customFormat="1" ht="45.75" customHeight="1">
      <c r="A16" s="49" t="s">
        <v>29</v>
      </c>
      <c r="B16" s="43">
        <f t="shared" si="7"/>
        <v>7489</v>
      </c>
      <c r="C16" s="47">
        <f t="shared" si="8"/>
        <v>2647</v>
      </c>
      <c r="D16" s="45">
        <f t="shared" si="0"/>
        <v>0.3534517292028308</v>
      </c>
      <c r="E16" s="83">
        <v>11</v>
      </c>
      <c r="F16" s="88">
        <v>2920</v>
      </c>
      <c r="G16" s="89">
        <f>2920-1842</f>
        <v>1078</v>
      </c>
      <c r="H16" s="86">
        <f>G16/F16</f>
        <v>0.36917808219178083</v>
      </c>
      <c r="I16" s="126">
        <v>291</v>
      </c>
      <c r="J16" s="124">
        <v>291</v>
      </c>
      <c r="K16" s="86">
        <f>J16/I16</f>
        <v>1</v>
      </c>
      <c r="L16" s="125">
        <v>4278</v>
      </c>
      <c r="M16" s="151">
        <f>4278-3000</f>
        <v>1278</v>
      </c>
      <c r="N16" s="149">
        <f t="shared" si="9"/>
        <v>0.29873772791023845</v>
      </c>
      <c r="O16" s="6"/>
      <c r="P16" s="150" t="s">
        <v>29</v>
      </c>
      <c r="Q16" s="167">
        <v>924</v>
      </c>
      <c r="R16" s="168">
        <v>1924</v>
      </c>
      <c r="S16" s="165">
        <v>291</v>
      </c>
      <c r="T16" s="167">
        <v>920</v>
      </c>
      <c r="U16" s="165">
        <f t="shared" si="2"/>
        <v>3139</v>
      </c>
      <c r="V16" s="168">
        <v>1924</v>
      </c>
      <c r="W16" s="167">
        <v>924</v>
      </c>
      <c r="X16" s="167">
        <v>920</v>
      </c>
      <c r="Y16" s="165">
        <f t="shared" si="3"/>
        <v>2848</v>
      </c>
      <c r="Z16" s="165">
        <f t="shared" si="4"/>
        <v>0</v>
      </c>
      <c r="AA16" s="168"/>
      <c r="AB16" s="167"/>
      <c r="AC16" s="167"/>
      <c r="AD16" s="168"/>
      <c r="AE16" s="167"/>
      <c r="AF16" s="168"/>
      <c r="AG16" s="167"/>
      <c r="AH16" s="167"/>
      <c r="AI16" s="165">
        <f t="shared" si="5"/>
        <v>2848</v>
      </c>
      <c r="AJ16" s="167">
        <v>2152</v>
      </c>
      <c r="AK16" s="213"/>
      <c r="AL16" s="210"/>
      <c r="AM16" s="211"/>
      <c r="AN16" s="212">
        <v>2848</v>
      </c>
      <c r="AO16" s="211">
        <f t="shared" si="6"/>
        <v>-1770</v>
      </c>
      <c r="AP16" s="212"/>
      <c r="AQ16" s="212"/>
      <c r="AR16" s="229"/>
      <c r="AS16" s="221"/>
      <c r="AT16" s="6"/>
    </row>
    <row r="17" spans="1:45" s="6" customFormat="1" ht="45.75" customHeight="1">
      <c r="A17" s="42" t="s">
        <v>314</v>
      </c>
      <c r="B17" s="43">
        <f t="shared" si="7"/>
        <v>4037</v>
      </c>
      <c r="C17" s="47">
        <f t="shared" si="8"/>
        <v>4037</v>
      </c>
      <c r="D17" s="45">
        <f t="shared" si="0"/>
        <v>1</v>
      </c>
      <c r="E17" s="83">
        <v>2</v>
      </c>
      <c r="F17" s="88">
        <v>355</v>
      </c>
      <c r="G17" s="89">
        <v>355</v>
      </c>
      <c r="H17" s="86">
        <f>G17/F17</f>
        <v>1</v>
      </c>
      <c r="I17" s="126">
        <v>0</v>
      </c>
      <c r="J17" s="124">
        <v>0</v>
      </c>
      <c r="K17" s="86" t="s">
        <v>21</v>
      </c>
      <c r="L17" s="125">
        <v>3682</v>
      </c>
      <c r="M17" s="151">
        <v>3682</v>
      </c>
      <c r="N17" s="149">
        <f t="shared" si="9"/>
        <v>1</v>
      </c>
      <c r="P17" s="150" t="s">
        <v>30</v>
      </c>
      <c r="Q17" s="169">
        <v>4648</v>
      </c>
      <c r="R17" s="170">
        <v>1530</v>
      </c>
      <c r="S17" s="169"/>
      <c r="T17" s="171">
        <v>277</v>
      </c>
      <c r="U17" s="165">
        <f t="shared" si="2"/>
        <v>6178</v>
      </c>
      <c r="V17" s="187">
        <v>1530</v>
      </c>
      <c r="W17" s="171">
        <v>4648</v>
      </c>
      <c r="X17" s="171">
        <v>277</v>
      </c>
      <c r="Y17" s="165">
        <f t="shared" si="3"/>
        <v>6178</v>
      </c>
      <c r="Z17" s="165">
        <f t="shared" si="4"/>
        <v>0</v>
      </c>
      <c r="AA17" s="187"/>
      <c r="AB17" s="171"/>
      <c r="AC17" s="171"/>
      <c r="AD17" s="187"/>
      <c r="AE17" s="171"/>
      <c r="AF17" s="187"/>
      <c r="AG17" s="171"/>
      <c r="AH17" s="171"/>
      <c r="AI17" s="165">
        <f t="shared" si="5"/>
        <v>6178</v>
      </c>
      <c r="AJ17" s="169">
        <v>670</v>
      </c>
      <c r="AL17" s="216"/>
      <c r="AM17" s="214"/>
      <c r="AN17" s="212">
        <v>6178</v>
      </c>
      <c r="AO17" s="211">
        <f t="shared" si="6"/>
        <v>-5823</v>
      </c>
      <c r="AP17" s="212"/>
      <c r="AQ17" s="212"/>
      <c r="AR17" s="221"/>
      <c r="AS17" s="221"/>
    </row>
    <row r="18" spans="1:46" s="8" customFormat="1" ht="45.75" customHeight="1">
      <c r="A18" s="49" t="s">
        <v>31</v>
      </c>
      <c r="B18" s="43">
        <f t="shared" si="7"/>
        <v>9113</v>
      </c>
      <c r="C18" s="47">
        <f t="shared" si="8"/>
        <v>7895</v>
      </c>
      <c r="D18" s="45">
        <f t="shared" si="0"/>
        <v>0.8663447821793043</v>
      </c>
      <c r="E18" s="83">
        <v>9</v>
      </c>
      <c r="F18" s="88">
        <v>740</v>
      </c>
      <c r="G18" s="89">
        <v>740</v>
      </c>
      <c r="H18" s="86">
        <f>G18/F18</f>
        <v>1</v>
      </c>
      <c r="I18" s="123">
        <v>5133</v>
      </c>
      <c r="J18" s="124">
        <f>3848+1285</f>
        <v>5133</v>
      </c>
      <c r="K18" s="86">
        <f>J18/I18</f>
        <v>1</v>
      </c>
      <c r="L18" s="125">
        <f>3240</f>
        <v>3240</v>
      </c>
      <c r="M18" s="151">
        <f>3240-1218</f>
        <v>2022</v>
      </c>
      <c r="N18" s="149">
        <f t="shared" si="9"/>
        <v>0.6240740740740741</v>
      </c>
      <c r="P18" s="150" t="s">
        <v>31</v>
      </c>
      <c r="Q18" s="165">
        <v>35182</v>
      </c>
      <c r="R18" s="166">
        <v>9540</v>
      </c>
      <c r="S18" s="165">
        <v>8758</v>
      </c>
      <c r="T18" s="165">
        <v>5221</v>
      </c>
      <c r="U18" s="165">
        <f t="shared" si="2"/>
        <v>53480</v>
      </c>
      <c r="V18" s="166">
        <v>9540</v>
      </c>
      <c r="W18" s="165">
        <v>35182</v>
      </c>
      <c r="X18" s="165">
        <v>484</v>
      </c>
      <c r="Y18" s="165">
        <f t="shared" si="3"/>
        <v>44722</v>
      </c>
      <c r="Z18" s="165">
        <f t="shared" si="4"/>
        <v>0</v>
      </c>
      <c r="AA18" s="173"/>
      <c r="AB18" s="172"/>
      <c r="AC18" s="172"/>
      <c r="AD18" s="173"/>
      <c r="AE18" s="172"/>
      <c r="AF18" s="173">
        <v>0</v>
      </c>
      <c r="AG18" s="172"/>
      <c r="AH18" s="172"/>
      <c r="AI18" s="165">
        <f t="shared" si="5"/>
        <v>44722</v>
      </c>
      <c r="AJ18" s="172">
        <f>14481-6827</f>
        <v>7654</v>
      </c>
      <c r="AK18" s="217" t="s">
        <v>315</v>
      </c>
      <c r="AL18" s="218"/>
      <c r="AM18" s="219"/>
      <c r="AN18" s="220">
        <v>44722</v>
      </c>
      <c r="AO18" s="211">
        <f t="shared" si="6"/>
        <v>-43982</v>
      </c>
      <c r="AP18" s="220"/>
      <c r="AQ18" s="220"/>
      <c r="AR18" s="230"/>
      <c r="AS18" s="230"/>
      <c r="AT18" s="6"/>
    </row>
    <row r="19" spans="1:45" s="6" customFormat="1" ht="45.75" customHeight="1">
      <c r="A19" s="49" t="s">
        <v>32</v>
      </c>
      <c r="B19" s="43">
        <f t="shared" si="7"/>
        <v>5334</v>
      </c>
      <c r="C19" s="47">
        <f t="shared" si="8"/>
        <v>5311</v>
      </c>
      <c r="D19" s="45">
        <f t="shared" si="0"/>
        <v>0.9956880389951256</v>
      </c>
      <c r="E19" s="83">
        <v>4</v>
      </c>
      <c r="F19" s="88">
        <v>224</v>
      </c>
      <c r="G19" s="89">
        <v>224</v>
      </c>
      <c r="H19" s="86">
        <f>G19/F19</f>
        <v>1</v>
      </c>
      <c r="I19" s="123">
        <v>3163</v>
      </c>
      <c r="J19" s="124">
        <f>3163-23</f>
        <v>3140</v>
      </c>
      <c r="K19" s="86">
        <f>J19/I19</f>
        <v>0.9927284223838129</v>
      </c>
      <c r="L19" s="125">
        <v>1947</v>
      </c>
      <c r="M19" s="151">
        <v>1947</v>
      </c>
      <c r="N19" s="149">
        <f t="shared" si="9"/>
        <v>1</v>
      </c>
      <c r="P19" s="150" t="s">
        <v>32</v>
      </c>
      <c r="Q19" s="165">
        <v>9258</v>
      </c>
      <c r="R19" s="166">
        <v>3045</v>
      </c>
      <c r="S19" s="165">
        <v>4437</v>
      </c>
      <c r="T19" s="165">
        <v>1683</v>
      </c>
      <c r="U19" s="165">
        <f t="shared" si="2"/>
        <v>16740</v>
      </c>
      <c r="V19" s="166">
        <v>2903</v>
      </c>
      <c r="W19" s="165">
        <v>8371</v>
      </c>
      <c r="X19" s="172">
        <v>1051</v>
      </c>
      <c r="Y19" s="165">
        <f t="shared" si="3"/>
        <v>11274</v>
      </c>
      <c r="Z19" s="165">
        <f t="shared" si="4"/>
        <v>1029</v>
      </c>
      <c r="AA19" s="166">
        <v>142</v>
      </c>
      <c r="AB19" s="165">
        <v>857</v>
      </c>
      <c r="AC19" s="172">
        <v>182</v>
      </c>
      <c r="AD19" s="166"/>
      <c r="AE19" s="165"/>
      <c r="AF19" s="166"/>
      <c r="AG19" s="165">
        <v>30</v>
      </c>
      <c r="AH19" s="165">
        <v>512</v>
      </c>
      <c r="AI19" s="165">
        <f t="shared" si="5"/>
        <v>12303</v>
      </c>
      <c r="AJ19" s="165">
        <v>1685</v>
      </c>
      <c r="AK19" s="221"/>
      <c r="AL19" s="222"/>
      <c r="AM19" s="214"/>
      <c r="AN19" s="212">
        <v>12303</v>
      </c>
      <c r="AO19" s="211">
        <f t="shared" si="6"/>
        <v>-12079</v>
      </c>
      <c r="AP19" s="212"/>
      <c r="AQ19" s="212"/>
      <c r="AR19" s="221"/>
      <c r="AS19" s="221"/>
    </row>
    <row r="20" spans="1:46" s="8" customFormat="1" ht="45.75" customHeight="1">
      <c r="A20" s="49" t="s">
        <v>33</v>
      </c>
      <c r="B20" s="43">
        <f t="shared" si="7"/>
        <v>1600</v>
      </c>
      <c r="C20" s="47">
        <f t="shared" si="8"/>
        <v>845</v>
      </c>
      <c r="D20" s="45">
        <f t="shared" si="0"/>
        <v>0.528125</v>
      </c>
      <c r="E20" s="83">
        <v>7</v>
      </c>
      <c r="F20" s="88">
        <v>871</v>
      </c>
      <c r="G20" s="89">
        <f>871-755</f>
        <v>116</v>
      </c>
      <c r="H20" s="86">
        <f>G20/F20</f>
        <v>0.13318025258323765</v>
      </c>
      <c r="I20" s="126">
        <v>0</v>
      </c>
      <c r="J20" s="124">
        <f>S20</f>
        <v>0</v>
      </c>
      <c r="K20" s="86" t="s">
        <v>21</v>
      </c>
      <c r="L20" s="125">
        <v>729</v>
      </c>
      <c r="M20" s="151">
        <v>729</v>
      </c>
      <c r="N20" s="149">
        <f t="shared" si="9"/>
        <v>1</v>
      </c>
      <c r="P20" s="150" t="s">
        <v>33</v>
      </c>
      <c r="Q20" s="163">
        <f>2564-48</f>
        <v>2516</v>
      </c>
      <c r="R20" s="164">
        <f>1161-552</f>
        <v>609</v>
      </c>
      <c r="S20" s="163"/>
      <c r="T20" s="163">
        <v>915</v>
      </c>
      <c r="U20" s="165">
        <f t="shared" si="2"/>
        <v>3125</v>
      </c>
      <c r="V20" s="188">
        <v>609</v>
      </c>
      <c r="W20" s="189">
        <v>2516</v>
      </c>
      <c r="X20" s="190">
        <v>915</v>
      </c>
      <c r="Y20" s="165">
        <f t="shared" si="3"/>
        <v>3125</v>
      </c>
      <c r="Z20" s="165">
        <f t="shared" si="4"/>
        <v>0</v>
      </c>
      <c r="AA20" s="201"/>
      <c r="AB20" s="190"/>
      <c r="AC20" s="190"/>
      <c r="AD20" s="201"/>
      <c r="AE20" s="190"/>
      <c r="AF20" s="201"/>
      <c r="AG20" s="190"/>
      <c r="AH20" s="190"/>
      <c r="AI20" s="165">
        <f t="shared" si="5"/>
        <v>3125</v>
      </c>
      <c r="AJ20" s="190">
        <v>609</v>
      </c>
      <c r="AL20" s="218"/>
      <c r="AM20" s="219"/>
      <c r="AN20" s="220">
        <v>3125</v>
      </c>
      <c r="AO20" s="211">
        <f t="shared" si="6"/>
        <v>-3009</v>
      </c>
      <c r="AP20" s="220"/>
      <c r="AQ20" s="220"/>
      <c r="AR20" s="230"/>
      <c r="AS20" s="230"/>
      <c r="AT20" s="6"/>
    </row>
    <row r="21" spans="1:45" s="6" customFormat="1" ht="45.75" customHeight="1">
      <c r="A21" s="42" t="s">
        <v>316</v>
      </c>
      <c r="B21" s="43">
        <v>5384</v>
      </c>
      <c r="C21" s="47">
        <v>4832</v>
      </c>
      <c r="D21" s="45">
        <f t="shared" si="0"/>
        <v>0.8974739970282318</v>
      </c>
      <c r="E21" s="83" t="s">
        <v>21</v>
      </c>
      <c r="F21" s="88">
        <v>0</v>
      </c>
      <c r="G21" s="89">
        <v>0</v>
      </c>
      <c r="H21" s="86" t="s">
        <v>21</v>
      </c>
      <c r="I21" s="123">
        <v>0</v>
      </c>
      <c r="J21" s="124">
        <f>S21</f>
        <v>0</v>
      </c>
      <c r="K21" s="86" t="s">
        <v>21</v>
      </c>
      <c r="L21" s="125">
        <v>0</v>
      </c>
      <c r="M21" s="151">
        <v>0</v>
      </c>
      <c r="N21" s="149" t="s">
        <v>21</v>
      </c>
      <c r="P21" s="150" t="s">
        <v>34</v>
      </c>
      <c r="Q21" s="165">
        <v>2101</v>
      </c>
      <c r="R21" s="166">
        <v>2731</v>
      </c>
      <c r="S21" s="162"/>
      <c r="T21" s="165">
        <v>0</v>
      </c>
      <c r="U21" s="165">
        <f t="shared" si="2"/>
        <v>4832</v>
      </c>
      <c r="V21" s="166">
        <v>2731</v>
      </c>
      <c r="W21" s="165">
        <v>2101</v>
      </c>
      <c r="X21" s="165"/>
      <c r="Y21" s="165">
        <f t="shared" si="3"/>
        <v>4832</v>
      </c>
      <c r="Z21" s="165">
        <f t="shared" si="4"/>
        <v>0</v>
      </c>
      <c r="AA21" s="166"/>
      <c r="AB21" s="165"/>
      <c r="AC21" s="165"/>
      <c r="AD21" s="166"/>
      <c r="AE21" s="165"/>
      <c r="AF21" s="166"/>
      <c r="AG21" s="165"/>
      <c r="AH21" s="165"/>
      <c r="AI21" s="165">
        <f t="shared" si="5"/>
        <v>4832</v>
      </c>
      <c r="AJ21" s="165">
        <v>308</v>
      </c>
      <c r="AL21" s="210"/>
      <c r="AM21" s="214"/>
      <c r="AN21" s="212">
        <v>4832</v>
      </c>
      <c r="AO21" s="211">
        <f t="shared" si="6"/>
        <v>-4832</v>
      </c>
      <c r="AP21" s="212"/>
      <c r="AQ21" s="212"/>
      <c r="AR21" s="221"/>
      <c r="AS21" s="221"/>
    </row>
    <row r="22" spans="1:45" s="6" customFormat="1" ht="45.75" customHeight="1">
      <c r="A22" s="51" t="s">
        <v>317</v>
      </c>
      <c r="B22" s="52">
        <f>F22+I22+L22</f>
        <v>7975</v>
      </c>
      <c r="C22" s="53">
        <f>G22+J22+M22</f>
        <v>6932</v>
      </c>
      <c r="D22" s="54">
        <f t="shared" si="0"/>
        <v>0.8692163009404389</v>
      </c>
      <c r="E22" s="93">
        <v>8</v>
      </c>
      <c r="F22" s="94">
        <v>0</v>
      </c>
      <c r="G22" s="95">
        <v>0</v>
      </c>
      <c r="H22" s="96" t="s">
        <v>21</v>
      </c>
      <c r="I22" s="127">
        <v>3946</v>
      </c>
      <c r="J22" s="128">
        <v>3946</v>
      </c>
      <c r="K22" s="129">
        <f>J22/I22</f>
        <v>1</v>
      </c>
      <c r="L22" s="130">
        <f>5164-1135</f>
        <v>4029</v>
      </c>
      <c r="M22" s="152">
        <v>2986</v>
      </c>
      <c r="N22" s="153">
        <f>M22/L22</f>
        <v>0.741126830479027</v>
      </c>
      <c r="P22" s="154" t="s">
        <v>35</v>
      </c>
      <c r="Q22" s="172">
        <v>7293</v>
      </c>
      <c r="R22" s="173">
        <v>4019</v>
      </c>
      <c r="S22" s="172">
        <v>3946</v>
      </c>
      <c r="T22" s="165">
        <v>3435</v>
      </c>
      <c r="U22" s="165">
        <f t="shared" si="2"/>
        <v>15258</v>
      </c>
      <c r="V22" s="166">
        <v>3319</v>
      </c>
      <c r="W22" s="172">
        <v>7293</v>
      </c>
      <c r="X22" s="165">
        <v>3435</v>
      </c>
      <c r="Y22" s="165">
        <f t="shared" si="3"/>
        <v>10612</v>
      </c>
      <c r="Z22" s="165">
        <f t="shared" si="4"/>
        <v>700</v>
      </c>
      <c r="AA22" s="166"/>
      <c r="AB22" s="165"/>
      <c r="AC22" s="165"/>
      <c r="AD22" s="166"/>
      <c r="AE22" s="165"/>
      <c r="AF22" s="166">
        <v>700</v>
      </c>
      <c r="AG22" s="165"/>
      <c r="AH22" s="165"/>
      <c r="AI22" s="165">
        <f t="shared" si="5"/>
        <v>11312</v>
      </c>
      <c r="AJ22" s="165">
        <v>2919</v>
      </c>
      <c r="AL22" s="210"/>
      <c r="AM22" s="208"/>
      <c r="AN22" s="223">
        <v>11312</v>
      </c>
      <c r="AO22" s="211">
        <f t="shared" si="6"/>
        <v>-11312</v>
      </c>
      <c r="AP22" s="221"/>
      <c r="AQ22" s="221">
        <v>-1135</v>
      </c>
      <c r="AR22" s="221"/>
      <c r="AS22" s="221"/>
    </row>
    <row r="23" spans="1:40" s="6" customFormat="1" ht="45.75" customHeight="1">
      <c r="A23" s="55" t="s">
        <v>318</v>
      </c>
      <c r="B23" s="56">
        <v>7375</v>
      </c>
      <c r="C23" s="57">
        <f>(558+372+1085+480)+(124+786+1420+916+535)</f>
        <v>6276</v>
      </c>
      <c r="D23" s="58">
        <f t="shared" si="0"/>
        <v>0.8509830508474576</v>
      </c>
      <c r="E23" s="97"/>
      <c r="F23" s="98"/>
      <c r="G23" s="99"/>
      <c r="H23" s="100"/>
      <c r="I23" s="100"/>
      <c r="J23" s="100"/>
      <c r="K23" s="100"/>
      <c r="L23" s="100"/>
      <c r="M23" s="100"/>
      <c r="N23" s="155"/>
      <c r="P23" s="156" t="s">
        <v>83</v>
      </c>
      <c r="Q23" s="165"/>
      <c r="R23" s="166">
        <v>37</v>
      </c>
      <c r="S23" s="165"/>
      <c r="T23" s="165"/>
      <c r="U23" s="165">
        <f t="shared" si="2"/>
        <v>37</v>
      </c>
      <c r="V23" s="166">
        <v>6793</v>
      </c>
      <c r="W23" s="165"/>
      <c r="X23" s="165"/>
      <c r="Y23" s="165">
        <f>V23+W23+X23</f>
        <v>6793</v>
      </c>
      <c r="Z23" s="165"/>
      <c r="AA23" s="166"/>
      <c r="AB23" s="165"/>
      <c r="AC23" s="165"/>
      <c r="AD23" s="166"/>
      <c r="AE23" s="165"/>
      <c r="AF23" s="166"/>
      <c r="AG23" s="165"/>
      <c r="AH23" s="165"/>
      <c r="AI23" s="165">
        <v>5373</v>
      </c>
      <c r="AJ23" s="165"/>
      <c r="AL23" s="224"/>
      <c r="AM23" s="207"/>
      <c r="AN23" s="225"/>
    </row>
    <row r="24" spans="1:43" ht="60" customHeight="1">
      <c r="A24" s="59" t="s">
        <v>319</v>
      </c>
      <c r="B24" s="60">
        <v>3567</v>
      </c>
      <c r="C24" s="61">
        <v>3469</v>
      </c>
      <c r="D24" s="62">
        <f t="shared" si="0"/>
        <v>0.9725259321558732</v>
      </c>
      <c r="E24" s="101"/>
      <c r="F24" s="102"/>
      <c r="G24" s="103"/>
      <c r="H24" s="103"/>
      <c r="I24" s="131"/>
      <c r="J24" s="131"/>
      <c r="K24" s="103"/>
      <c r="L24" s="132"/>
      <c r="M24" s="157"/>
      <c r="N24" s="158"/>
      <c r="P24" s="159" t="s">
        <v>84</v>
      </c>
      <c r="Q24" s="165"/>
      <c r="R24" s="174"/>
      <c r="S24" s="165">
        <v>2398</v>
      </c>
      <c r="T24" s="175"/>
      <c r="U24" s="165">
        <f t="shared" si="2"/>
        <v>2398</v>
      </c>
      <c r="V24" s="174"/>
      <c r="W24" s="165">
        <v>3571</v>
      </c>
      <c r="X24" s="165"/>
      <c r="Y24" s="165">
        <f>V24+W24+X24</f>
        <v>3571</v>
      </c>
      <c r="Z24" s="165"/>
      <c r="AA24" s="174"/>
      <c r="AB24" s="175"/>
      <c r="AC24" s="175"/>
      <c r="AD24" s="174"/>
      <c r="AE24" s="175"/>
      <c r="AF24" s="174"/>
      <c r="AG24" s="175"/>
      <c r="AH24" s="175"/>
      <c r="AI24" s="165">
        <v>3571</v>
      </c>
      <c r="AJ24" s="175"/>
      <c r="AL24" s="224"/>
      <c r="AM24" s="207"/>
      <c r="AN24" s="225"/>
      <c r="AO24" s="6"/>
      <c r="AP24" s="6"/>
      <c r="AQ24" s="6"/>
    </row>
    <row r="25" spans="1:40" ht="25.5">
      <c r="A25" s="63" t="s">
        <v>320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AM25" s="207"/>
      <c r="AN25" s="225"/>
    </row>
    <row r="26" spans="1:40" ht="27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AM26" s="207"/>
      <c r="AN26" s="248"/>
    </row>
    <row r="27" spans="1:43" s="160" customFormat="1" ht="25.5">
      <c r="A27" s="9"/>
      <c r="B27" s="233"/>
      <c r="C27" s="65"/>
      <c r="D27" s="233"/>
      <c r="E27" s="233"/>
      <c r="F27" s="105"/>
      <c r="G27" s="105"/>
      <c r="H27" s="235"/>
      <c r="I27" s="237"/>
      <c r="J27" s="237"/>
      <c r="K27" s="238"/>
      <c r="L27" s="236"/>
      <c r="M27" s="23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L27" s="20"/>
      <c r="AM27" s="207"/>
      <c r="AN27" s="9"/>
      <c r="AO27" s="9"/>
      <c r="AP27" s="9"/>
      <c r="AQ27" s="9"/>
    </row>
    <row r="28" spans="1:40" s="160" customFormat="1" ht="25.5">
      <c r="A28" s="9"/>
      <c r="B28" s="233"/>
      <c r="C28" s="234"/>
      <c r="D28" s="233"/>
      <c r="E28" s="236"/>
      <c r="F28" s="105"/>
      <c r="G28" s="105"/>
      <c r="H28" s="235"/>
      <c r="I28" s="237"/>
      <c r="J28" s="237"/>
      <c r="K28" s="238"/>
      <c r="L28" s="236"/>
      <c r="M28" s="236"/>
      <c r="Q28" s="176"/>
      <c r="R28" s="176"/>
      <c r="S28" s="176"/>
      <c r="T28" s="176">
        <v>1215</v>
      </c>
      <c r="U28" s="176"/>
      <c r="V28" s="176">
        <v>1718</v>
      </c>
      <c r="W28" s="176">
        <v>1499</v>
      </c>
      <c r="X28" s="176"/>
      <c r="Y28" s="176">
        <f>V28-W28</f>
        <v>219</v>
      </c>
      <c r="Z28" s="176"/>
      <c r="AA28" s="176">
        <v>5073</v>
      </c>
      <c r="AB28" s="176"/>
      <c r="AC28" s="176"/>
      <c r="AD28" s="176"/>
      <c r="AE28" s="176"/>
      <c r="AF28" s="176"/>
      <c r="AG28" s="176"/>
      <c r="AH28" s="176"/>
      <c r="AI28" s="176"/>
      <c r="AJ28" s="176"/>
      <c r="AL28" s="228"/>
      <c r="AM28" s="207"/>
      <c r="AN28" s="9"/>
    </row>
    <row r="29" spans="1:39" s="160" customFormat="1" ht="25.5">
      <c r="A29" s="9"/>
      <c r="B29" s="233"/>
      <c r="C29" s="234"/>
      <c r="D29" s="233"/>
      <c r="E29" s="233"/>
      <c r="F29" s="105"/>
      <c r="G29" s="105"/>
      <c r="H29" s="235"/>
      <c r="I29" s="237"/>
      <c r="J29" s="237"/>
      <c r="K29" s="238"/>
      <c r="L29" s="236"/>
      <c r="M29" s="23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L29" s="228"/>
      <c r="AM29" s="207"/>
    </row>
    <row r="30" spans="1:39" s="160" customFormat="1" ht="25.5">
      <c r="A30" s="9"/>
      <c r="B30" s="233"/>
      <c r="C30" s="234"/>
      <c r="D30" s="233"/>
      <c r="E30" s="233"/>
      <c r="F30" s="105"/>
      <c r="G30" s="105"/>
      <c r="H30" s="235"/>
      <c r="I30" s="237"/>
      <c r="J30" s="237"/>
      <c r="K30" s="238"/>
      <c r="L30" s="236"/>
      <c r="M30" s="236"/>
      <c r="Q30" s="176"/>
      <c r="R30" s="176"/>
      <c r="S30" s="176"/>
      <c r="T30" s="176">
        <v>291</v>
      </c>
      <c r="U30" s="176"/>
      <c r="V30" s="176">
        <v>1466</v>
      </c>
      <c r="W30" s="176"/>
      <c r="X30" s="176"/>
      <c r="Y30" s="176"/>
      <c r="Z30" s="176"/>
      <c r="AA30" s="176">
        <v>126</v>
      </c>
      <c r="AB30" s="176"/>
      <c r="AC30" s="176"/>
      <c r="AD30" s="176"/>
      <c r="AE30" s="176"/>
      <c r="AF30" s="176"/>
      <c r="AG30" s="176"/>
      <c r="AH30" s="176"/>
      <c r="AI30" s="176"/>
      <c r="AJ30" s="176"/>
      <c r="AL30" s="228"/>
      <c r="AM30" s="207"/>
    </row>
    <row r="31" spans="1:39" s="160" customFormat="1" ht="25.5">
      <c r="A31" s="9"/>
      <c r="B31" s="233"/>
      <c r="C31" s="234"/>
      <c r="D31" s="233"/>
      <c r="E31" s="233"/>
      <c r="F31" s="105"/>
      <c r="G31" s="105"/>
      <c r="H31" s="235"/>
      <c r="I31" s="237"/>
      <c r="J31" s="237"/>
      <c r="K31" s="238"/>
      <c r="L31" s="236"/>
      <c r="M31" s="236"/>
      <c r="Q31" s="176"/>
      <c r="R31" s="176"/>
      <c r="S31" s="176">
        <f>T28-T30</f>
        <v>924</v>
      </c>
      <c r="T31" s="176"/>
      <c r="U31" s="176"/>
      <c r="V31" s="176">
        <v>33</v>
      </c>
      <c r="W31" s="176"/>
      <c r="X31" s="176"/>
      <c r="Y31" s="176"/>
      <c r="Z31" s="176">
        <f>AA28-AA30</f>
        <v>4947</v>
      </c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L31" s="228"/>
      <c r="AM31" s="228"/>
    </row>
    <row r="32" spans="1:39" s="160" customFormat="1" ht="25.5">
      <c r="A32" s="9"/>
      <c r="B32" s="233"/>
      <c r="C32" s="234"/>
      <c r="D32" s="233"/>
      <c r="E32" s="233"/>
      <c r="F32" s="105"/>
      <c r="G32" s="105"/>
      <c r="H32" s="235"/>
      <c r="I32" s="237"/>
      <c r="J32" s="237"/>
      <c r="K32" s="238"/>
      <c r="L32" s="236"/>
      <c r="M32" s="23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L32" s="228"/>
      <c r="AM32" s="228"/>
    </row>
    <row r="33" spans="1:39" s="160" customFormat="1" ht="25.5">
      <c r="A33" s="9"/>
      <c r="B33" s="233"/>
      <c r="C33" s="234"/>
      <c r="D33" s="233"/>
      <c r="E33" s="233"/>
      <c r="F33" s="105"/>
      <c r="G33" s="105"/>
      <c r="H33" s="235"/>
      <c r="I33" s="237"/>
      <c r="J33" s="237"/>
      <c r="K33" s="238"/>
      <c r="L33" s="236"/>
      <c r="M33" s="236"/>
      <c r="Q33" s="176"/>
      <c r="R33" s="176"/>
      <c r="S33" s="176"/>
      <c r="T33" s="176"/>
      <c r="U33" s="176"/>
      <c r="V33" s="176">
        <f>V28-V30-V31</f>
        <v>219</v>
      </c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L33" s="228"/>
      <c r="AM33" s="228"/>
    </row>
    <row r="34" spans="1:39" s="160" customFormat="1" ht="25.5">
      <c r="A34" s="9"/>
      <c r="B34" s="22"/>
      <c r="C34" s="23"/>
      <c r="D34" s="22"/>
      <c r="E34" s="22"/>
      <c r="F34" s="9"/>
      <c r="G34" s="9"/>
      <c r="H34" s="67"/>
      <c r="I34" s="239"/>
      <c r="J34" s="239"/>
      <c r="K34" s="240"/>
      <c r="L34" s="110"/>
      <c r="M34" s="110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L34" s="228"/>
      <c r="AM34" s="228"/>
    </row>
    <row r="35" spans="1:39" s="160" customFormat="1" ht="25.5">
      <c r="A35" s="9"/>
      <c r="B35" s="22"/>
      <c r="C35" s="23"/>
      <c r="D35" s="22"/>
      <c r="E35" s="22"/>
      <c r="F35" s="9"/>
      <c r="G35" s="9"/>
      <c r="H35" s="67"/>
      <c r="I35" s="239"/>
      <c r="J35" s="239"/>
      <c r="K35" s="240"/>
      <c r="L35" s="110"/>
      <c r="M35" s="110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L35" s="228"/>
      <c r="AM35" s="228"/>
    </row>
    <row r="36" spans="1:39" s="160" customFormat="1" ht="25.5">
      <c r="A36" s="9"/>
      <c r="B36" s="22"/>
      <c r="C36" s="23"/>
      <c r="D36" s="22"/>
      <c r="E36" s="22"/>
      <c r="F36" s="9"/>
      <c r="G36" s="9"/>
      <c r="H36" s="67"/>
      <c r="I36" s="239"/>
      <c r="J36" s="239"/>
      <c r="K36" s="240"/>
      <c r="L36" s="110"/>
      <c r="M36" s="110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L36" s="228"/>
      <c r="AM36" s="228"/>
    </row>
    <row r="37" spans="1:39" s="160" customFormat="1" ht="25.5">
      <c r="A37" s="9"/>
      <c r="B37" s="22"/>
      <c r="C37" s="23"/>
      <c r="D37" s="22"/>
      <c r="E37" s="22"/>
      <c r="F37" s="9"/>
      <c r="G37" s="9"/>
      <c r="H37" s="67"/>
      <c r="I37" s="239"/>
      <c r="J37" s="239"/>
      <c r="K37" s="240"/>
      <c r="L37" s="110"/>
      <c r="M37" s="110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L37" s="228"/>
      <c r="AM37" s="228"/>
    </row>
    <row r="38" spans="1:39" s="160" customFormat="1" ht="25.5">
      <c r="A38" s="9"/>
      <c r="B38" s="22"/>
      <c r="C38" s="23"/>
      <c r="D38" s="22"/>
      <c r="E38" s="22"/>
      <c r="F38" s="9"/>
      <c r="G38" s="9"/>
      <c r="H38" s="67"/>
      <c r="I38" s="239"/>
      <c r="J38" s="239"/>
      <c r="K38" s="240"/>
      <c r="L38" s="110"/>
      <c r="M38" s="110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L38" s="228"/>
      <c r="AM38" s="228"/>
    </row>
    <row r="39" spans="1:39" s="160" customFormat="1" ht="25.5">
      <c r="A39" s="9"/>
      <c r="B39" s="22"/>
      <c r="C39" s="23"/>
      <c r="D39" s="22"/>
      <c r="E39" s="22"/>
      <c r="F39" s="9"/>
      <c r="G39" s="9"/>
      <c r="H39" s="67"/>
      <c r="I39" s="239"/>
      <c r="J39" s="239"/>
      <c r="K39" s="240"/>
      <c r="L39" s="110"/>
      <c r="M39" s="110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L39" s="228"/>
      <c r="AM39" s="228"/>
    </row>
    <row r="40" spans="1:39" s="160" customFormat="1" ht="25.5">
      <c r="A40" s="9"/>
      <c r="B40" s="22"/>
      <c r="C40" s="23"/>
      <c r="D40" s="22"/>
      <c r="E40" s="22"/>
      <c r="F40" s="9"/>
      <c r="G40" s="9"/>
      <c r="H40" s="67"/>
      <c r="I40" s="239"/>
      <c r="J40" s="239"/>
      <c r="K40" s="240"/>
      <c r="L40" s="110"/>
      <c r="M40" s="110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L40" s="228"/>
      <c r="AM40" s="228"/>
    </row>
    <row r="41" spans="1:39" s="160" customFormat="1" ht="25.5">
      <c r="A41" s="9"/>
      <c r="B41" s="22"/>
      <c r="C41" s="23"/>
      <c r="D41" s="22"/>
      <c r="E41" s="22"/>
      <c r="F41" s="9"/>
      <c r="G41" s="9"/>
      <c r="H41" s="67"/>
      <c r="I41" s="239"/>
      <c r="J41" s="239"/>
      <c r="K41" s="240"/>
      <c r="L41" s="110"/>
      <c r="M41" s="110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L41" s="228"/>
      <c r="AM41" s="228"/>
    </row>
    <row r="42" spans="1:39" s="160" customFormat="1" ht="25.5">
      <c r="A42" s="9"/>
      <c r="B42" s="22"/>
      <c r="C42" s="23"/>
      <c r="D42" s="22"/>
      <c r="E42" s="22"/>
      <c r="F42" s="9"/>
      <c r="G42" s="9"/>
      <c r="H42" s="67"/>
      <c r="I42" s="239"/>
      <c r="J42" s="239"/>
      <c r="K42" s="240"/>
      <c r="L42" s="110"/>
      <c r="M42" s="110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L42" s="228"/>
      <c r="AM42" s="228"/>
    </row>
    <row r="43" spans="1:39" s="160" customFormat="1" ht="25.5">
      <c r="A43" s="9"/>
      <c r="B43" s="22"/>
      <c r="C43" s="23"/>
      <c r="D43" s="22"/>
      <c r="E43" s="22"/>
      <c r="F43" s="9"/>
      <c r="G43" s="9"/>
      <c r="H43" s="67"/>
      <c r="I43" s="239"/>
      <c r="J43" s="239"/>
      <c r="K43" s="240"/>
      <c r="L43" s="110"/>
      <c r="M43" s="110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L43" s="228"/>
      <c r="AM43" s="228"/>
    </row>
    <row r="44" spans="1:39" s="160" customFormat="1" ht="25.5">
      <c r="A44" s="9"/>
      <c r="B44" s="22"/>
      <c r="C44" s="23"/>
      <c r="D44" s="22"/>
      <c r="E44" s="22"/>
      <c r="F44" s="9"/>
      <c r="G44" s="9"/>
      <c r="H44" s="67"/>
      <c r="I44" s="239"/>
      <c r="J44" s="239"/>
      <c r="K44" s="240"/>
      <c r="L44" s="110"/>
      <c r="M44" s="110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L44" s="228"/>
      <c r="AM44" s="228"/>
    </row>
    <row r="45" spans="38:43" ht="25.5">
      <c r="AL45" s="228"/>
      <c r="AM45" s="228"/>
      <c r="AN45" s="160"/>
      <c r="AO45" s="160"/>
      <c r="AP45" s="160"/>
      <c r="AQ45" s="160"/>
    </row>
    <row r="46" spans="39:40" ht="25.5">
      <c r="AM46" s="228"/>
      <c r="AN46" s="160"/>
    </row>
  </sheetData>
  <sheetProtection/>
  <mergeCells count="36">
    <mergeCell ref="A2:N2"/>
    <mergeCell ref="Q2:U2"/>
    <mergeCell ref="B3:E3"/>
    <mergeCell ref="F3:H3"/>
    <mergeCell ref="I3:K3"/>
    <mergeCell ref="L3:N3"/>
    <mergeCell ref="AA3:AH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3:P5"/>
    <mergeCell ref="Q3:Q5"/>
    <mergeCell ref="R3:R5"/>
    <mergeCell ref="S3:S5"/>
    <mergeCell ref="T3:T5"/>
    <mergeCell ref="U3:U5"/>
    <mergeCell ref="Y6:Y7"/>
    <mergeCell ref="Z4:Z5"/>
    <mergeCell ref="AI3:AI5"/>
    <mergeCell ref="AJ3:AJ5"/>
    <mergeCell ref="A25:N26"/>
    <mergeCell ref="V3:Y5"/>
    <mergeCell ref="AA4:AC5"/>
    <mergeCell ref="AD4:AE5"/>
    <mergeCell ref="AF4:AH5"/>
  </mergeCells>
  <printOptions/>
  <pageMargins left="0.5902777777777778" right="0.19652777777777777" top="0.4722222222222222" bottom="1.1805555555555556" header="0.35" footer="0.5118055555555555"/>
  <pageSetup fitToHeight="0" horizontalDpi="600" verticalDpi="600" orientation="portrait" paperSize="9" scale="58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46"/>
  <sheetViews>
    <sheetView zoomScale="55" zoomScaleNormal="55" zoomScaleSheetLayoutView="40" workbookViewId="0" topLeftCell="A1">
      <pane ySplit="6" topLeftCell="A7" activePane="bottomLeft" state="frozen"/>
      <selection pane="bottomLeft" activeCell="AR14" sqref="AR14"/>
    </sheetView>
  </sheetViews>
  <sheetFormatPr defaultColWidth="9.7109375" defaultRowHeight="15"/>
  <cols>
    <col min="1" max="1" width="13.8515625" style="11" customWidth="1"/>
    <col min="2" max="2" width="13.57421875" style="3" customWidth="1"/>
    <col min="3" max="3" width="13.140625" style="12" customWidth="1"/>
    <col min="4" max="4" width="13.57421875" style="3" customWidth="1"/>
    <col min="5" max="5" width="8.421875" style="3" customWidth="1"/>
    <col min="6" max="6" width="10.8515625" style="11" customWidth="1"/>
    <col min="7" max="7" width="11.8515625" style="9" customWidth="1"/>
    <col min="8" max="8" width="12.421875" style="13" customWidth="1"/>
    <col min="9" max="9" width="11.140625" style="14" customWidth="1"/>
    <col min="10" max="10" width="11.421875" style="14" customWidth="1"/>
    <col min="11" max="11" width="12.28125" style="15" customWidth="1"/>
    <col min="12" max="12" width="12.00390625" style="16" customWidth="1"/>
    <col min="13" max="13" width="10.00390625" style="16" customWidth="1"/>
    <col min="14" max="14" width="13.140625" style="11" customWidth="1"/>
    <col min="15" max="15" width="6.140625" style="11" hidden="1" customWidth="1"/>
    <col min="16" max="16" width="13.8515625" style="9" hidden="1" customWidth="1"/>
    <col min="17" max="17" width="13.57421875" style="17" hidden="1" customWidth="1"/>
    <col min="18" max="18" width="17.28125" style="18" hidden="1" customWidth="1"/>
    <col min="19" max="19" width="15.00390625" style="17" hidden="1" customWidth="1"/>
    <col min="20" max="21" width="14.421875" style="17" hidden="1" customWidth="1"/>
    <col min="22" max="22" width="14.421875" style="18" hidden="1" customWidth="1"/>
    <col min="23" max="23" width="14.421875" style="17" hidden="1" customWidth="1"/>
    <col min="24" max="24" width="13.57421875" style="19" hidden="1" customWidth="1"/>
    <col min="25" max="25" width="13.57421875" style="17" hidden="1" customWidth="1"/>
    <col min="26" max="26" width="14.421875" style="17" hidden="1" customWidth="1"/>
    <col min="27" max="27" width="14.421875" style="18" hidden="1" customWidth="1"/>
    <col min="28" max="28" width="14.421875" style="17" hidden="1" customWidth="1"/>
    <col min="29" max="29" width="14.421875" style="19" hidden="1" customWidth="1"/>
    <col min="30" max="30" width="14.421875" style="18" hidden="1" customWidth="1"/>
    <col min="31" max="31" width="14.421875" style="17" hidden="1" customWidth="1"/>
    <col min="32" max="32" width="14.421875" style="18" hidden="1" customWidth="1"/>
    <col min="33" max="33" width="14.421875" style="17" hidden="1" customWidth="1"/>
    <col min="34" max="34" width="14.421875" style="19" hidden="1" customWidth="1"/>
    <col min="35" max="35" width="14.421875" style="17" hidden="1" customWidth="1"/>
    <col min="36" max="36" width="33.57421875" style="17" hidden="1" customWidth="1"/>
    <col min="37" max="37" width="11.57421875" style="11" hidden="1" customWidth="1"/>
    <col min="38" max="38" width="10.7109375" style="20" hidden="1" customWidth="1"/>
    <col min="39" max="39" width="9.7109375" style="20" hidden="1" customWidth="1"/>
    <col min="40" max="40" width="9.7109375" style="11" hidden="1" customWidth="1"/>
    <col min="41" max="41" width="10.00390625" style="11" hidden="1" customWidth="1"/>
    <col min="42" max="42" width="9.7109375" style="11" hidden="1" customWidth="1"/>
    <col min="43" max="214" width="9.7109375" style="11" customWidth="1"/>
    <col min="215" max="245" width="10.00390625" style="11" bestFit="1" customWidth="1"/>
    <col min="246" max="16384" width="9.7109375" style="11" customWidth="1"/>
  </cols>
  <sheetData>
    <row r="1" spans="1:39" s="3" customFormat="1" ht="33.75" customHeight="1">
      <c r="A1" s="21" t="s">
        <v>0</v>
      </c>
      <c r="B1" s="22"/>
      <c r="C1" s="23"/>
      <c r="D1" s="22"/>
      <c r="E1" s="22"/>
      <c r="F1" s="9"/>
      <c r="G1" s="9"/>
      <c r="H1" s="67"/>
      <c r="I1" s="108"/>
      <c r="J1" s="108"/>
      <c r="K1" s="109"/>
      <c r="L1" s="110"/>
      <c r="M1" s="110"/>
      <c r="N1" s="22"/>
      <c r="P1" s="22"/>
      <c r="Q1" s="161"/>
      <c r="R1" s="161"/>
      <c r="S1" s="161"/>
      <c r="T1" s="161"/>
      <c r="U1" s="18"/>
      <c r="V1" s="18"/>
      <c r="W1" s="18"/>
      <c r="X1" s="177"/>
      <c r="Y1" s="18"/>
      <c r="Z1" s="18"/>
      <c r="AA1" s="18"/>
      <c r="AB1" s="18"/>
      <c r="AC1" s="177"/>
      <c r="AD1" s="18"/>
      <c r="AE1" s="18"/>
      <c r="AF1" s="18"/>
      <c r="AG1" s="18"/>
      <c r="AH1" s="177"/>
      <c r="AI1" s="18"/>
      <c r="AJ1" s="18"/>
      <c r="AL1" s="205"/>
      <c r="AM1" s="205"/>
    </row>
    <row r="2" spans="1:39" s="4" customFormat="1" ht="73.5" customHeight="1">
      <c r="A2" s="24" t="s">
        <v>321</v>
      </c>
      <c r="B2" s="25"/>
      <c r="C2" s="26"/>
      <c r="D2" s="25"/>
      <c r="E2" s="25"/>
      <c r="F2" s="25"/>
      <c r="G2" s="25"/>
      <c r="H2" s="68"/>
      <c r="I2" s="25"/>
      <c r="J2" s="25"/>
      <c r="K2" s="68"/>
      <c r="L2" s="111"/>
      <c r="M2" s="111"/>
      <c r="N2" s="111"/>
      <c r="P2" s="137" t="s">
        <v>274</v>
      </c>
      <c r="Q2" s="162" t="s">
        <v>40</v>
      </c>
      <c r="R2" s="162"/>
      <c r="S2" s="162"/>
      <c r="T2" s="162"/>
      <c r="U2" s="162"/>
      <c r="V2" s="178" t="s">
        <v>275</v>
      </c>
      <c r="W2" s="179" t="s">
        <v>276</v>
      </c>
      <c r="X2" s="180"/>
      <c r="Y2" s="192"/>
      <c r="Z2" s="192"/>
      <c r="AA2" s="193"/>
      <c r="AB2" s="192"/>
      <c r="AC2" s="180"/>
      <c r="AD2" s="193"/>
      <c r="AE2" s="192"/>
      <c r="AF2" s="193"/>
      <c r="AG2" s="192"/>
      <c r="AH2" s="180"/>
      <c r="AI2" s="192"/>
      <c r="AJ2" s="204"/>
      <c r="AL2" s="206"/>
      <c r="AM2" s="206"/>
    </row>
    <row r="3" spans="1:39" s="4" customFormat="1" ht="51.75" customHeight="1">
      <c r="A3" s="27" t="s">
        <v>277</v>
      </c>
      <c r="B3" s="28" t="s">
        <v>278</v>
      </c>
      <c r="C3" s="29"/>
      <c r="D3" s="29"/>
      <c r="E3" s="29"/>
      <c r="F3" s="69" t="s">
        <v>279</v>
      </c>
      <c r="G3" s="70"/>
      <c r="H3" s="71"/>
      <c r="I3" s="29" t="s">
        <v>280</v>
      </c>
      <c r="J3" s="29"/>
      <c r="K3" s="112"/>
      <c r="L3" s="113" t="s">
        <v>281</v>
      </c>
      <c r="M3" s="138"/>
      <c r="N3" s="139"/>
      <c r="P3" s="140" t="s">
        <v>41</v>
      </c>
      <c r="Q3" s="163" t="s">
        <v>44</v>
      </c>
      <c r="R3" s="164" t="s">
        <v>282</v>
      </c>
      <c r="S3" s="163" t="s">
        <v>46</v>
      </c>
      <c r="T3" s="163" t="s">
        <v>47</v>
      </c>
      <c r="U3" s="181" t="s">
        <v>283</v>
      </c>
      <c r="V3" s="182" t="s">
        <v>284</v>
      </c>
      <c r="W3" s="182"/>
      <c r="X3" s="182"/>
      <c r="Y3" s="182"/>
      <c r="Z3" s="194"/>
      <c r="AA3" s="195" t="s">
        <v>285</v>
      </c>
      <c r="AB3" s="195"/>
      <c r="AC3" s="195"/>
      <c r="AD3" s="195"/>
      <c r="AE3" s="195"/>
      <c r="AF3" s="195"/>
      <c r="AG3" s="195"/>
      <c r="AH3" s="195"/>
      <c r="AI3" s="171" t="s">
        <v>20</v>
      </c>
      <c r="AJ3" s="165" t="s">
        <v>49</v>
      </c>
      <c r="AL3" s="206"/>
      <c r="AM3" s="206"/>
    </row>
    <row r="4" spans="1:39" s="4" customFormat="1" ht="99" customHeight="1">
      <c r="A4" s="30"/>
      <c r="B4" s="31" t="s">
        <v>287</v>
      </c>
      <c r="C4" s="32" t="s">
        <v>288</v>
      </c>
      <c r="D4" s="33" t="s">
        <v>289</v>
      </c>
      <c r="E4" s="72" t="s">
        <v>290</v>
      </c>
      <c r="F4" s="73" t="s">
        <v>291</v>
      </c>
      <c r="G4" s="74" t="s">
        <v>57</v>
      </c>
      <c r="H4" s="75" t="s">
        <v>292</v>
      </c>
      <c r="I4" s="114" t="s">
        <v>291</v>
      </c>
      <c r="J4" s="115" t="s">
        <v>293</v>
      </c>
      <c r="K4" s="75" t="s">
        <v>292</v>
      </c>
      <c r="L4" s="116" t="s">
        <v>291</v>
      </c>
      <c r="M4" s="74" t="s">
        <v>294</v>
      </c>
      <c r="N4" s="141" t="s">
        <v>292</v>
      </c>
      <c r="P4" s="142"/>
      <c r="Q4" s="165"/>
      <c r="R4" s="166"/>
      <c r="S4" s="165"/>
      <c r="T4" s="165"/>
      <c r="U4" s="183"/>
      <c r="V4" s="182"/>
      <c r="W4" s="182"/>
      <c r="X4" s="182"/>
      <c r="Y4" s="182"/>
      <c r="Z4" s="196" t="s">
        <v>295</v>
      </c>
      <c r="AA4" s="197" t="s">
        <v>296</v>
      </c>
      <c r="AB4" s="197"/>
      <c r="AC4" s="197"/>
      <c r="AD4" s="197" t="s">
        <v>297</v>
      </c>
      <c r="AE4" s="202"/>
      <c r="AF4" s="197" t="s">
        <v>298</v>
      </c>
      <c r="AG4" s="197"/>
      <c r="AH4" s="197"/>
      <c r="AI4" s="183"/>
      <c r="AJ4" s="165"/>
      <c r="AL4" s="206"/>
      <c r="AM4" s="206"/>
    </row>
    <row r="5" spans="1:39" s="5" customFormat="1" ht="12.75" customHeight="1">
      <c r="A5" s="34"/>
      <c r="B5" s="35"/>
      <c r="C5" s="36"/>
      <c r="D5" s="37"/>
      <c r="E5" s="76"/>
      <c r="F5" s="77"/>
      <c r="G5" s="78"/>
      <c r="H5" s="79"/>
      <c r="I5" s="117"/>
      <c r="J5" s="118"/>
      <c r="K5" s="79"/>
      <c r="L5" s="119"/>
      <c r="M5" s="78"/>
      <c r="N5" s="143"/>
      <c r="P5" s="144"/>
      <c r="Q5" s="165"/>
      <c r="R5" s="166"/>
      <c r="S5" s="165"/>
      <c r="T5" s="165"/>
      <c r="U5" s="163"/>
      <c r="V5" s="182"/>
      <c r="W5" s="182"/>
      <c r="X5" s="182"/>
      <c r="Y5" s="182"/>
      <c r="Z5" s="198"/>
      <c r="AA5" s="197"/>
      <c r="AB5" s="197"/>
      <c r="AC5" s="197"/>
      <c r="AD5" s="203"/>
      <c r="AE5" s="202"/>
      <c r="AF5" s="197"/>
      <c r="AG5" s="197"/>
      <c r="AH5" s="197"/>
      <c r="AI5" s="163"/>
      <c r="AJ5" s="165"/>
      <c r="AL5" s="207"/>
      <c r="AM5" s="207"/>
    </row>
    <row r="6" spans="1:45" s="5" customFormat="1" ht="48.75" customHeight="1">
      <c r="A6" s="38" t="s">
        <v>299</v>
      </c>
      <c r="B6" s="39" t="s">
        <v>300</v>
      </c>
      <c r="C6" s="40" t="s">
        <v>301</v>
      </c>
      <c r="D6" s="41" t="s">
        <v>16</v>
      </c>
      <c r="E6" s="80">
        <v>4</v>
      </c>
      <c r="F6" s="81">
        <v>5</v>
      </c>
      <c r="G6" s="41">
        <v>6</v>
      </c>
      <c r="H6" s="82" t="s">
        <v>302</v>
      </c>
      <c r="I6" s="39">
        <v>8</v>
      </c>
      <c r="J6" s="41">
        <v>9</v>
      </c>
      <c r="K6" s="120" t="s">
        <v>303</v>
      </c>
      <c r="L6" s="39">
        <v>11</v>
      </c>
      <c r="M6" s="41">
        <v>12</v>
      </c>
      <c r="N6" s="145" t="s">
        <v>304</v>
      </c>
      <c r="O6" s="146"/>
      <c r="P6" s="147"/>
      <c r="Q6" s="165">
        <v>1</v>
      </c>
      <c r="R6" s="166">
        <v>2</v>
      </c>
      <c r="S6" s="165">
        <v>3</v>
      </c>
      <c r="T6" s="165">
        <v>4</v>
      </c>
      <c r="U6" s="165"/>
      <c r="V6" s="184" t="s">
        <v>305</v>
      </c>
      <c r="W6" s="185" t="s">
        <v>306</v>
      </c>
      <c r="X6" s="186" t="s">
        <v>307</v>
      </c>
      <c r="Y6" s="199" t="s">
        <v>20</v>
      </c>
      <c r="Z6" s="163"/>
      <c r="AA6" s="166" t="s">
        <v>305</v>
      </c>
      <c r="AB6" s="165" t="s">
        <v>306</v>
      </c>
      <c r="AC6" s="165" t="s">
        <v>307</v>
      </c>
      <c r="AD6" s="166" t="s">
        <v>305</v>
      </c>
      <c r="AE6" s="165" t="s">
        <v>306</v>
      </c>
      <c r="AF6" s="166" t="s">
        <v>305</v>
      </c>
      <c r="AG6" s="165" t="s">
        <v>306</v>
      </c>
      <c r="AH6" s="165" t="s">
        <v>307</v>
      </c>
      <c r="AI6" s="165"/>
      <c r="AJ6" s="165"/>
      <c r="AK6" s="146"/>
      <c r="AL6" s="207"/>
      <c r="AM6" s="207"/>
      <c r="AN6" s="146"/>
      <c r="AO6" s="146"/>
      <c r="AP6" s="146"/>
      <c r="AQ6" s="146"/>
      <c r="AR6" s="146"/>
      <c r="AS6" s="146"/>
    </row>
    <row r="7" spans="1:45" s="5" customFormat="1" ht="49.5" customHeight="1">
      <c r="A7" s="42" t="s">
        <v>308</v>
      </c>
      <c r="B7" s="43">
        <v>69850</v>
      </c>
      <c r="C7" s="44">
        <f>C8</f>
        <v>58811</v>
      </c>
      <c r="D7" s="45">
        <f aca="true" t="shared" si="0" ref="D7:D24">C7/B7</f>
        <v>0.8419613457408733</v>
      </c>
      <c r="E7" s="83" t="s">
        <v>21</v>
      </c>
      <c r="F7" s="84" t="s">
        <v>21</v>
      </c>
      <c r="G7" s="85" t="s">
        <v>21</v>
      </c>
      <c r="H7" s="86" t="s">
        <v>21</v>
      </c>
      <c r="I7" s="121" t="s">
        <v>21</v>
      </c>
      <c r="J7" s="85" t="s">
        <v>21</v>
      </c>
      <c r="K7" s="86" t="s">
        <v>21</v>
      </c>
      <c r="L7" s="122" t="s">
        <v>21</v>
      </c>
      <c r="M7" s="148" t="s">
        <v>21</v>
      </c>
      <c r="N7" s="149" t="s">
        <v>21</v>
      </c>
      <c r="O7" s="146"/>
      <c r="P7" s="150" t="s">
        <v>64</v>
      </c>
      <c r="Q7" s="165"/>
      <c r="R7" s="166"/>
      <c r="S7" s="165"/>
      <c r="T7" s="165"/>
      <c r="U7" s="165"/>
      <c r="V7" s="184"/>
      <c r="W7" s="185"/>
      <c r="X7" s="185"/>
      <c r="Y7" s="200"/>
      <c r="Z7" s="165"/>
      <c r="AA7" s="166"/>
      <c r="AB7" s="165"/>
      <c r="AC7" s="165"/>
      <c r="AD7" s="166"/>
      <c r="AE7" s="165"/>
      <c r="AF7" s="166"/>
      <c r="AG7" s="165"/>
      <c r="AH7" s="165"/>
      <c r="AI7" s="165"/>
      <c r="AJ7" s="165"/>
      <c r="AK7" s="146"/>
      <c r="AL7" s="207"/>
      <c r="AM7" s="207"/>
      <c r="AN7" s="146"/>
      <c r="AO7" s="146"/>
      <c r="AP7" s="146"/>
      <c r="AQ7" s="146"/>
      <c r="AR7" s="146"/>
      <c r="AS7" s="146"/>
    </row>
    <row r="8" spans="1:45" s="5" customFormat="1" ht="49.5" customHeight="1">
      <c r="A8" s="42" t="s">
        <v>309</v>
      </c>
      <c r="B8" s="46">
        <f aca="true" t="shared" si="1" ref="B8:G8">B9+B10+B11+B12+B14+B16+B17+B15+B18+B19+B20+B22</f>
        <v>69850</v>
      </c>
      <c r="C8" s="47">
        <f t="shared" si="1"/>
        <v>58811</v>
      </c>
      <c r="D8" s="48">
        <f t="shared" si="0"/>
        <v>0.8419613457408733</v>
      </c>
      <c r="E8" s="83" t="s">
        <v>21</v>
      </c>
      <c r="F8" s="87">
        <f>SUM(F9:F22)</f>
        <v>9919</v>
      </c>
      <c r="G8" s="47">
        <f t="shared" si="1"/>
        <v>7377</v>
      </c>
      <c r="H8" s="86">
        <f>G8/F8</f>
        <v>0.7437241657425143</v>
      </c>
      <c r="I8" s="121">
        <f>SUM(I9:I22)</f>
        <v>19072</v>
      </c>
      <c r="J8" s="47">
        <f>J9+J10+J11+J12+J14+J16+J17+J15+J18+J19+J20+J22</f>
        <v>19072</v>
      </c>
      <c r="K8" s="86">
        <f>J8/I8</f>
        <v>1</v>
      </c>
      <c r="L8" s="43">
        <f>SUM(L9:L22)</f>
        <v>40859</v>
      </c>
      <c r="M8" s="47">
        <f>M9+M10+M11+M12+M14+M16+M17+M15+M18+M19+M20+M22</f>
        <v>32362</v>
      </c>
      <c r="N8" s="149">
        <f>M8/L8</f>
        <v>0.7920409212168678</v>
      </c>
      <c r="O8" s="146"/>
      <c r="P8" s="150" t="s">
        <v>65</v>
      </c>
      <c r="Q8" s="165"/>
      <c r="R8" s="165"/>
      <c r="S8" s="165"/>
      <c r="T8" s="165"/>
      <c r="U8" s="165">
        <f>SUM(U9:U24)</f>
        <v>148551</v>
      </c>
      <c r="V8" s="165">
        <f aca="true" t="shared" si="2" ref="V8:AB8">SUM(V9:V22)</f>
        <v>30808</v>
      </c>
      <c r="W8" s="165">
        <f t="shared" si="2"/>
        <v>85125</v>
      </c>
      <c r="X8" s="166"/>
      <c r="Y8" s="166">
        <f t="shared" si="2"/>
        <v>115933</v>
      </c>
      <c r="Z8" s="166">
        <f t="shared" si="2"/>
        <v>6180</v>
      </c>
      <c r="AA8" s="166">
        <f t="shared" si="2"/>
        <v>142</v>
      </c>
      <c r="AB8" s="166">
        <f t="shared" si="2"/>
        <v>857</v>
      </c>
      <c r="AC8" s="166">
        <v>542</v>
      </c>
      <c r="AD8" s="166">
        <f>SUM(AD9:AD22)</f>
        <v>0</v>
      </c>
      <c r="AE8" s="166">
        <f>SUM(AE9:AE22)</f>
        <v>0</v>
      </c>
      <c r="AF8" s="166">
        <f>SUM(AF9:AF22)</f>
        <v>3479</v>
      </c>
      <c r="AG8" s="166">
        <f>SUM(AG9:AG22)</f>
        <v>1702</v>
      </c>
      <c r="AH8" s="166">
        <f>SUM(AH9:AH22)</f>
        <v>638</v>
      </c>
      <c r="AI8" s="165"/>
      <c r="AJ8" s="165">
        <f>SUM(AJ9:AJ22)</f>
        <v>23572</v>
      </c>
      <c r="AK8" s="146"/>
      <c r="AL8" s="208"/>
      <c r="AM8" s="208"/>
      <c r="AN8" s="209"/>
      <c r="AO8" s="209"/>
      <c r="AP8" s="209"/>
      <c r="AQ8" s="209"/>
      <c r="AR8" s="209"/>
      <c r="AS8" s="146"/>
    </row>
    <row r="9" spans="1:44" s="6" customFormat="1" ht="45.75" customHeight="1">
      <c r="A9" s="49" t="s">
        <v>22</v>
      </c>
      <c r="B9" s="43">
        <f aca="true" t="shared" si="3" ref="B9:C12">F9+I9+L9</f>
        <v>5627</v>
      </c>
      <c r="C9" s="50">
        <f t="shared" si="3"/>
        <v>4422</v>
      </c>
      <c r="D9" s="45">
        <f t="shared" si="0"/>
        <v>0.7858539186067176</v>
      </c>
      <c r="E9" s="83">
        <v>11</v>
      </c>
      <c r="F9" s="88">
        <v>542</v>
      </c>
      <c r="G9" s="89">
        <v>542</v>
      </c>
      <c r="H9" s="86">
        <f>G9/F9</f>
        <v>1</v>
      </c>
      <c r="I9" s="123">
        <v>1999</v>
      </c>
      <c r="J9" s="124">
        <v>1999</v>
      </c>
      <c r="K9" s="86">
        <f>J9/I9</f>
        <v>1</v>
      </c>
      <c r="L9" s="125">
        <v>3086</v>
      </c>
      <c r="M9" s="151">
        <v>1881</v>
      </c>
      <c r="N9" s="149">
        <f>M9/L9</f>
        <v>0.6095268956578095</v>
      </c>
      <c r="P9" s="150" t="s">
        <v>22</v>
      </c>
      <c r="Q9" s="165">
        <v>4526</v>
      </c>
      <c r="R9" s="166">
        <v>2525</v>
      </c>
      <c r="S9" s="165">
        <v>1999</v>
      </c>
      <c r="T9" s="165">
        <v>1881</v>
      </c>
      <c r="U9" s="165">
        <f aca="true" t="shared" si="4" ref="U9:U24">Q9+R9+S9</f>
        <v>9050</v>
      </c>
      <c r="V9" s="166">
        <v>2361</v>
      </c>
      <c r="W9" s="165">
        <v>4526</v>
      </c>
      <c r="X9" s="165"/>
      <c r="Y9" s="165">
        <f aca="true" t="shared" si="5" ref="Y9:Y22">V9+W9</f>
        <v>6887</v>
      </c>
      <c r="Z9" s="165">
        <f aca="true" t="shared" si="6" ref="Z9:Z22">AA9+AB9+AD9+AE9+AF9+AG9</f>
        <v>164</v>
      </c>
      <c r="AA9" s="166">
        <v>0</v>
      </c>
      <c r="AB9" s="165">
        <v>0</v>
      </c>
      <c r="AC9" s="165"/>
      <c r="AD9" s="166">
        <v>0</v>
      </c>
      <c r="AE9" s="165">
        <v>0</v>
      </c>
      <c r="AF9" s="166">
        <v>164</v>
      </c>
      <c r="AG9" s="165">
        <v>0</v>
      </c>
      <c r="AH9" s="165">
        <v>64</v>
      </c>
      <c r="AI9" s="165">
        <f aca="true" t="shared" si="7" ref="AI9:AI22">V9+W9+AA9+AB9+AD9+AE9+AF9+AG9</f>
        <v>7051</v>
      </c>
      <c r="AJ9" s="165">
        <v>2525</v>
      </c>
      <c r="AL9" s="210"/>
      <c r="AM9" s="211"/>
      <c r="AN9" s="212">
        <v>7051</v>
      </c>
      <c r="AO9" s="211">
        <f aca="true" t="shared" si="8" ref="AO9:AO22">G9-AN9</f>
        <v>-6509</v>
      </c>
      <c r="AP9" s="212"/>
      <c r="AQ9" s="221"/>
      <c r="AR9" s="221"/>
    </row>
    <row r="10" spans="1:44" s="6" customFormat="1" ht="45.75" customHeight="1">
      <c r="A10" s="42" t="s">
        <v>322</v>
      </c>
      <c r="B10" s="43">
        <f t="shared" si="3"/>
        <v>6462</v>
      </c>
      <c r="C10" s="47">
        <f t="shared" si="3"/>
        <v>5653</v>
      </c>
      <c r="D10" s="45">
        <f t="shared" si="0"/>
        <v>0.8748065614360879</v>
      </c>
      <c r="E10" s="83">
        <v>4</v>
      </c>
      <c r="F10" s="88">
        <v>0</v>
      </c>
      <c r="G10" s="89">
        <v>0</v>
      </c>
      <c r="H10" s="86" t="s">
        <v>21</v>
      </c>
      <c r="I10" s="126">
        <v>1128</v>
      </c>
      <c r="J10" s="124">
        <v>1128</v>
      </c>
      <c r="K10" s="86">
        <f>J10/I10</f>
        <v>1</v>
      </c>
      <c r="L10" s="125">
        <v>5334</v>
      </c>
      <c r="M10" s="151">
        <v>4525</v>
      </c>
      <c r="N10" s="149">
        <f>M10/L10</f>
        <v>0.848331458567679</v>
      </c>
      <c r="P10" s="150" t="s">
        <v>23</v>
      </c>
      <c r="Q10" s="165">
        <v>8809</v>
      </c>
      <c r="R10" s="166">
        <v>2252</v>
      </c>
      <c r="S10" s="165">
        <v>1128</v>
      </c>
      <c r="T10" s="165">
        <v>1534</v>
      </c>
      <c r="U10" s="165">
        <f t="shared" si="4"/>
        <v>12189</v>
      </c>
      <c r="V10" s="166">
        <v>2252</v>
      </c>
      <c r="W10" s="165">
        <v>7782</v>
      </c>
      <c r="X10" s="165">
        <v>1197</v>
      </c>
      <c r="Y10" s="165">
        <f t="shared" si="5"/>
        <v>10034</v>
      </c>
      <c r="Z10" s="165">
        <f t="shared" si="6"/>
        <v>1027</v>
      </c>
      <c r="AA10" s="166">
        <v>0</v>
      </c>
      <c r="AB10" s="165">
        <v>0</v>
      </c>
      <c r="AC10" s="165"/>
      <c r="AD10" s="166">
        <v>0</v>
      </c>
      <c r="AE10" s="165">
        <v>0</v>
      </c>
      <c r="AF10" s="166">
        <v>0</v>
      </c>
      <c r="AG10" s="165">
        <v>1027</v>
      </c>
      <c r="AH10" s="165"/>
      <c r="AI10" s="165">
        <f t="shared" si="7"/>
        <v>11061</v>
      </c>
      <c r="AJ10" s="165">
        <v>2252</v>
      </c>
      <c r="AK10" s="213"/>
      <c r="AL10" s="210"/>
      <c r="AM10" s="214"/>
      <c r="AN10" s="212">
        <v>11061</v>
      </c>
      <c r="AO10" s="211">
        <f t="shared" si="8"/>
        <v>-11061</v>
      </c>
      <c r="AP10" s="212"/>
      <c r="AQ10" s="221"/>
      <c r="AR10" s="221"/>
    </row>
    <row r="11" spans="1:44" s="6" customFormat="1" ht="45.75" customHeight="1">
      <c r="A11" s="42" t="s">
        <v>310</v>
      </c>
      <c r="B11" s="43">
        <f t="shared" si="3"/>
        <v>7298</v>
      </c>
      <c r="C11" s="47">
        <f t="shared" si="3"/>
        <v>6871</v>
      </c>
      <c r="D11" s="45">
        <f t="shared" si="0"/>
        <v>0.9414908194025761</v>
      </c>
      <c r="E11" s="83">
        <v>1</v>
      </c>
      <c r="F11" s="90">
        <v>2008</v>
      </c>
      <c r="G11" s="91">
        <v>2008</v>
      </c>
      <c r="H11" s="92">
        <f>G11/F11</f>
        <v>1</v>
      </c>
      <c r="I11" s="126">
        <v>0</v>
      </c>
      <c r="J11" s="124">
        <v>0</v>
      </c>
      <c r="K11" s="86" t="s">
        <v>21</v>
      </c>
      <c r="L11" s="125">
        <v>5290</v>
      </c>
      <c r="M11" s="151">
        <v>4863</v>
      </c>
      <c r="N11" s="149">
        <f>M11/L11</f>
        <v>0.9192816635160681</v>
      </c>
      <c r="P11" s="150" t="s">
        <v>24</v>
      </c>
      <c r="Q11" s="165">
        <v>3549</v>
      </c>
      <c r="R11" s="166">
        <v>2435</v>
      </c>
      <c r="S11" s="165"/>
      <c r="T11" s="165">
        <v>1992</v>
      </c>
      <c r="U11" s="165">
        <f t="shared" si="4"/>
        <v>5984</v>
      </c>
      <c r="V11" s="166">
        <v>994</v>
      </c>
      <c r="W11" s="165">
        <v>3101</v>
      </c>
      <c r="X11" s="165">
        <v>1940</v>
      </c>
      <c r="Y11" s="165">
        <f t="shared" si="5"/>
        <v>4095</v>
      </c>
      <c r="Z11" s="165">
        <f t="shared" si="6"/>
        <v>1889</v>
      </c>
      <c r="AA11" s="166">
        <v>0</v>
      </c>
      <c r="AB11" s="165">
        <v>0</v>
      </c>
      <c r="AC11" s="165"/>
      <c r="AD11" s="166">
        <v>0</v>
      </c>
      <c r="AE11" s="165">
        <v>0</v>
      </c>
      <c r="AF11" s="173">
        <v>1441</v>
      </c>
      <c r="AG11" s="172">
        <v>448</v>
      </c>
      <c r="AH11" s="165">
        <v>52</v>
      </c>
      <c r="AI11" s="165">
        <f t="shared" si="7"/>
        <v>5984</v>
      </c>
      <c r="AJ11" s="165">
        <v>2369</v>
      </c>
      <c r="AL11" s="210"/>
      <c r="AM11" s="214"/>
      <c r="AN11" s="212">
        <v>5984</v>
      </c>
      <c r="AO11" s="211">
        <f t="shared" si="8"/>
        <v>-3976</v>
      </c>
      <c r="AP11" s="212"/>
      <c r="AQ11" s="221"/>
      <c r="AR11" s="221"/>
    </row>
    <row r="12" spans="1:44" s="6" customFormat="1" ht="45.75" customHeight="1">
      <c r="A12" s="49" t="s">
        <v>25</v>
      </c>
      <c r="B12" s="43">
        <f t="shared" si="3"/>
        <v>8961</v>
      </c>
      <c r="C12" s="47">
        <f t="shared" si="3"/>
        <v>6364</v>
      </c>
      <c r="D12" s="45">
        <f t="shared" si="0"/>
        <v>0.7101885950228769</v>
      </c>
      <c r="E12" s="83">
        <v>12</v>
      </c>
      <c r="F12" s="88">
        <v>2999</v>
      </c>
      <c r="G12" s="89">
        <v>1424</v>
      </c>
      <c r="H12" s="86">
        <f>G12/F12</f>
        <v>0.4748249416472157</v>
      </c>
      <c r="I12" s="123">
        <v>333</v>
      </c>
      <c r="J12" s="124">
        <v>333</v>
      </c>
      <c r="K12" s="86">
        <f>J12/I12</f>
        <v>1</v>
      </c>
      <c r="L12" s="125">
        <v>5629</v>
      </c>
      <c r="M12" s="151">
        <v>4607</v>
      </c>
      <c r="N12" s="149">
        <f>M12/L12</f>
        <v>0.8184402202877954</v>
      </c>
      <c r="P12" s="150" t="s">
        <v>25</v>
      </c>
      <c r="Q12" s="165">
        <v>2291</v>
      </c>
      <c r="R12" s="166">
        <v>1860</v>
      </c>
      <c r="S12" s="162">
        <v>365</v>
      </c>
      <c r="T12" s="165">
        <v>3637</v>
      </c>
      <c r="U12" s="165">
        <f t="shared" si="4"/>
        <v>4516</v>
      </c>
      <c r="V12" s="166">
        <v>719</v>
      </c>
      <c r="W12" s="165">
        <v>2220</v>
      </c>
      <c r="X12" s="165">
        <v>3627</v>
      </c>
      <c r="Y12" s="165">
        <f t="shared" si="5"/>
        <v>2939</v>
      </c>
      <c r="Z12" s="165">
        <f t="shared" si="6"/>
        <v>1212</v>
      </c>
      <c r="AA12" s="166">
        <v>0</v>
      </c>
      <c r="AB12" s="165">
        <v>0</v>
      </c>
      <c r="AC12" s="165"/>
      <c r="AD12" s="166">
        <v>0</v>
      </c>
      <c r="AE12" s="165">
        <v>0</v>
      </c>
      <c r="AF12" s="173">
        <v>1141</v>
      </c>
      <c r="AG12" s="172">
        <v>71</v>
      </c>
      <c r="AH12" s="165">
        <v>10</v>
      </c>
      <c r="AI12" s="165">
        <f t="shared" si="7"/>
        <v>4151</v>
      </c>
      <c r="AJ12" s="165">
        <v>0</v>
      </c>
      <c r="AK12" s="215" t="s">
        <v>69</v>
      </c>
      <c r="AL12" s="210"/>
      <c r="AM12" s="211"/>
      <c r="AN12" s="212">
        <v>4151</v>
      </c>
      <c r="AO12" s="211">
        <f t="shared" si="8"/>
        <v>-2727</v>
      </c>
      <c r="AP12" s="212"/>
      <c r="AQ12" s="221"/>
      <c r="AR12" s="221"/>
    </row>
    <row r="13" spans="1:44" s="6" customFormat="1" ht="45.75" customHeight="1">
      <c r="A13" s="42" t="s">
        <v>311</v>
      </c>
      <c r="B13" s="43">
        <v>1957</v>
      </c>
      <c r="C13" s="47">
        <v>1151</v>
      </c>
      <c r="D13" s="45">
        <f t="shared" si="0"/>
        <v>0.5881451200817578</v>
      </c>
      <c r="E13" s="83" t="s">
        <v>21</v>
      </c>
      <c r="F13" s="88">
        <v>0</v>
      </c>
      <c r="G13" s="89">
        <v>0</v>
      </c>
      <c r="H13" s="86" t="s">
        <v>21</v>
      </c>
      <c r="I13" s="126">
        <v>0</v>
      </c>
      <c r="J13" s="124">
        <v>0</v>
      </c>
      <c r="K13" s="86" t="s">
        <v>21</v>
      </c>
      <c r="L13" s="125">
        <v>0</v>
      </c>
      <c r="M13" s="151">
        <v>0</v>
      </c>
      <c r="N13" s="149" t="s">
        <v>21</v>
      </c>
      <c r="P13" s="150" t="s">
        <v>26</v>
      </c>
      <c r="Q13" s="165"/>
      <c r="R13" s="166">
        <v>241</v>
      </c>
      <c r="S13" s="165"/>
      <c r="T13" s="165">
        <v>353</v>
      </c>
      <c r="U13" s="165">
        <f t="shared" si="4"/>
        <v>241</v>
      </c>
      <c r="V13" s="166">
        <v>241</v>
      </c>
      <c r="W13" s="165">
        <v>0</v>
      </c>
      <c r="X13" s="165">
        <v>353</v>
      </c>
      <c r="Y13" s="165">
        <f t="shared" si="5"/>
        <v>241</v>
      </c>
      <c r="Z13" s="165">
        <f t="shared" si="6"/>
        <v>0</v>
      </c>
      <c r="AA13" s="166">
        <v>0</v>
      </c>
      <c r="AB13" s="165">
        <v>0</v>
      </c>
      <c r="AC13" s="165"/>
      <c r="AD13" s="166">
        <v>0</v>
      </c>
      <c r="AE13" s="165">
        <v>0</v>
      </c>
      <c r="AF13" s="166">
        <v>0</v>
      </c>
      <c r="AG13" s="165">
        <v>0</v>
      </c>
      <c r="AH13" s="165"/>
      <c r="AI13" s="165">
        <f t="shared" si="7"/>
        <v>241</v>
      </c>
      <c r="AJ13" s="165">
        <v>241</v>
      </c>
      <c r="AL13" s="210"/>
      <c r="AM13" s="214"/>
      <c r="AN13" s="212">
        <v>241</v>
      </c>
      <c r="AO13" s="211">
        <f t="shared" si="8"/>
        <v>-241</v>
      </c>
      <c r="AP13" s="212"/>
      <c r="AQ13" s="221"/>
      <c r="AR13" s="221"/>
    </row>
    <row r="14" spans="1:44" s="6" customFormat="1" ht="45.75" customHeight="1">
      <c r="A14" s="42" t="s">
        <v>312</v>
      </c>
      <c r="B14" s="43">
        <f aca="true" t="shared" si="9" ref="B14:B20">F14+I14+L14</f>
        <v>1170</v>
      </c>
      <c r="C14" s="47">
        <f aca="true" t="shared" si="10" ref="C14:C20">G14+J14+M14</f>
        <v>964</v>
      </c>
      <c r="D14" s="45">
        <f t="shared" si="0"/>
        <v>0.8239316239316239</v>
      </c>
      <c r="E14" s="83">
        <v>8</v>
      </c>
      <c r="F14" s="88">
        <v>0</v>
      </c>
      <c r="G14" s="89">
        <v>0</v>
      </c>
      <c r="H14" s="86" t="s">
        <v>21</v>
      </c>
      <c r="I14" s="126">
        <v>0</v>
      </c>
      <c r="J14" s="124">
        <v>0</v>
      </c>
      <c r="K14" s="86" t="s">
        <v>21</v>
      </c>
      <c r="L14" s="125">
        <v>1170</v>
      </c>
      <c r="M14" s="151">
        <v>964</v>
      </c>
      <c r="N14" s="149">
        <f aca="true" t="shared" si="11" ref="N14:N20">M14/L14</f>
        <v>0.8239316239316239</v>
      </c>
      <c r="P14" s="150" t="s">
        <v>27</v>
      </c>
      <c r="Q14" s="165">
        <v>1514</v>
      </c>
      <c r="R14" s="166"/>
      <c r="S14" s="165"/>
      <c r="T14" s="165">
        <v>0</v>
      </c>
      <c r="U14" s="165">
        <f t="shared" si="4"/>
        <v>1514</v>
      </c>
      <c r="V14" s="166"/>
      <c r="W14" s="165">
        <v>1514</v>
      </c>
      <c r="X14" s="165"/>
      <c r="Y14" s="165">
        <f t="shared" si="5"/>
        <v>1514</v>
      </c>
      <c r="Z14" s="165">
        <f t="shared" si="6"/>
        <v>0</v>
      </c>
      <c r="AA14" s="166"/>
      <c r="AB14" s="165"/>
      <c r="AC14" s="165"/>
      <c r="AD14" s="166"/>
      <c r="AE14" s="165"/>
      <c r="AF14" s="166"/>
      <c r="AG14" s="165"/>
      <c r="AH14" s="165"/>
      <c r="AI14" s="165">
        <f t="shared" si="7"/>
        <v>1514</v>
      </c>
      <c r="AJ14" s="165"/>
      <c r="AL14" s="210"/>
      <c r="AM14" s="214"/>
      <c r="AN14" s="212">
        <v>1514</v>
      </c>
      <c r="AO14" s="211">
        <f t="shared" si="8"/>
        <v>-1514</v>
      </c>
      <c r="AP14" s="212"/>
      <c r="AQ14" s="221"/>
      <c r="AR14" s="221"/>
    </row>
    <row r="15" spans="1:44" s="6" customFormat="1" ht="45.75" customHeight="1">
      <c r="A15" s="42" t="s">
        <v>313</v>
      </c>
      <c r="B15" s="43">
        <f t="shared" si="9"/>
        <v>4389</v>
      </c>
      <c r="C15" s="47">
        <f t="shared" si="10"/>
        <v>4024</v>
      </c>
      <c r="D15" s="45">
        <f t="shared" si="0"/>
        <v>0.9168375484164958</v>
      </c>
      <c r="E15" s="83">
        <v>2</v>
      </c>
      <c r="F15" s="88">
        <v>0</v>
      </c>
      <c r="G15" s="89">
        <v>0</v>
      </c>
      <c r="H15" s="86" t="s">
        <v>21</v>
      </c>
      <c r="I15" s="123">
        <v>3079</v>
      </c>
      <c r="J15" s="124">
        <v>3079</v>
      </c>
      <c r="K15" s="86">
        <f>J15/I15</f>
        <v>1</v>
      </c>
      <c r="L15" s="125">
        <v>1310</v>
      </c>
      <c r="M15" s="151">
        <v>945</v>
      </c>
      <c r="N15" s="149">
        <f t="shared" si="11"/>
        <v>0.7213740458015268</v>
      </c>
      <c r="P15" s="150" t="s">
        <v>28</v>
      </c>
      <c r="Q15" s="165">
        <v>5073</v>
      </c>
      <c r="R15" s="166">
        <v>1718</v>
      </c>
      <c r="S15" s="165">
        <v>3079</v>
      </c>
      <c r="T15" s="165">
        <v>343</v>
      </c>
      <c r="U15" s="165">
        <f t="shared" si="4"/>
        <v>9870</v>
      </c>
      <c r="V15" s="166">
        <v>1685</v>
      </c>
      <c r="W15" s="165">
        <v>4947</v>
      </c>
      <c r="X15" s="165">
        <v>343</v>
      </c>
      <c r="Y15" s="165">
        <f t="shared" si="5"/>
        <v>6632</v>
      </c>
      <c r="Z15" s="165">
        <f t="shared" si="6"/>
        <v>159</v>
      </c>
      <c r="AA15" s="166"/>
      <c r="AB15" s="165"/>
      <c r="AC15" s="165"/>
      <c r="AD15" s="166"/>
      <c r="AE15" s="165"/>
      <c r="AF15" s="173">
        <v>33</v>
      </c>
      <c r="AG15" s="172">
        <v>126</v>
      </c>
      <c r="AH15" s="165"/>
      <c r="AI15" s="165">
        <f t="shared" si="7"/>
        <v>6791</v>
      </c>
      <c r="AJ15" s="165">
        <v>188</v>
      </c>
      <c r="AL15" s="210"/>
      <c r="AM15" s="214"/>
      <c r="AN15" s="212">
        <v>6791</v>
      </c>
      <c r="AO15" s="211">
        <f t="shared" si="8"/>
        <v>-6791</v>
      </c>
      <c r="AP15" s="212"/>
      <c r="AQ15" s="221"/>
      <c r="AR15" s="221"/>
    </row>
    <row r="16" spans="1:45" s="7" customFormat="1" ht="45.75" customHeight="1">
      <c r="A16" s="49" t="s">
        <v>29</v>
      </c>
      <c r="B16" s="43">
        <f t="shared" si="9"/>
        <v>7489</v>
      </c>
      <c r="C16" s="47">
        <f t="shared" si="10"/>
        <v>6369</v>
      </c>
      <c r="D16" s="45">
        <f t="shared" si="0"/>
        <v>0.8504473227400187</v>
      </c>
      <c r="E16" s="83">
        <v>7</v>
      </c>
      <c r="F16" s="88">
        <v>2920</v>
      </c>
      <c r="G16" s="89">
        <v>2158</v>
      </c>
      <c r="H16" s="86">
        <f>G16/F16</f>
        <v>0.739041095890411</v>
      </c>
      <c r="I16" s="126">
        <v>291</v>
      </c>
      <c r="J16" s="124">
        <v>291</v>
      </c>
      <c r="K16" s="86">
        <f>J16/I16</f>
        <v>1</v>
      </c>
      <c r="L16" s="125">
        <v>4278</v>
      </c>
      <c r="M16" s="151">
        <v>3920</v>
      </c>
      <c r="N16" s="149">
        <f t="shared" si="11"/>
        <v>0.9163160355306218</v>
      </c>
      <c r="O16" s="6"/>
      <c r="P16" s="150" t="s">
        <v>29</v>
      </c>
      <c r="Q16" s="167">
        <v>924</v>
      </c>
      <c r="R16" s="168">
        <v>1924</v>
      </c>
      <c r="S16" s="165">
        <v>291</v>
      </c>
      <c r="T16" s="167">
        <v>920</v>
      </c>
      <c r="U16" s="165">
        <f t="shared" si="4"/>
        <v>3139</v>
      </c>
      <c r="V16" s="168">
        <v>1924</v>
      </c>
      <c r="W16" s="167">
        <v>924</v>
      </c>
      <c r="X16" s="167">
        <v>920</v>
      </c>
      <c r="Y16" s="165">
        <f t="shared" si="5"/>
        <v>2848</v>
      </c>
      <c r="Z16" s="165">
        <f t="shared" si="6"/>
        <v>0</v>
      </c>
      <c r="AA16" s="168"/>
      <c r="AB16" s="167"/>
      <c r="AC16" s="167"/>
      <c r="AD16" s="168"/>
      <c r="AE16" s="167"/>
      <c r="AF16" s="168"/>
      <c r="AG16" s="167"/>
      <c r="AH16" s="167"/>
      <c r="AI16" s="165">
        <f t="shared" si="7"/>
        <v>2848</v>
      </c>
      <c r="AJ16" s="167">
        <v>2152</v>
      </c>
      <c r="AK16" s="213"/>
      <c r="AL16" s="210"/>
      <c r="AM16" s="211"/>
      <c r="AN16" s="212">
        <v>2848</v>
      </c>
      <c r="AO16" s="211">
        <f t="shared" si="8"/>
        <v>-690</v>
      </c>
      <c r="AP16" s="212"/>
      <c r="AQ16" s="229"/>
      <c r="AR16" s="221"/>
      <c r="AS16" s="6"/>
    </row>
    <row r="17" spans="1:44" s="6" customFormat="1" ht="45.75" customHeight="1">
      <c r="A17" s="42" t="s">
        <v>314</v>
      </c>
      <c r="B17" s="43">
        <f t="shared" si="9"/>
        <v>4037</v>
      </c>
      <c r="C17" s="47">
        <f t="shared" si="10"/>
        <v>3263</v>
      </c>
      <c r="D17" s="45">
        <f t="shared" si="0"/>
        <v>0.808273470398811</v>
      </c>
      <c r="E17" s="83">
        <v>10</v>
      </c>
      <c r="F17" s="88">
        <v>355</v>
      </c>
      <c r="G17" s="89">
        <v>355</v>
      </c>
      <c r="H17" s="86">
        <f>G17/F17</f>
        <v>1</v>
      </c>
      <c r="I17" s="126">
        <v>0</v>
      </c>
      <c r="J17" s="124">
        <v>0</v>
      </c>
      <c r="K17" s="86" t="s">
        <v>21</v>
      </c>
      <c r="L17" s="125">
        <v>3682</v>
      </c>
      <c r="M17" s="151">
        <f>342+1300+816+450</f>
        <v>2908</v>
      </c>
      <c r="N17" s="149">
        <f t="shared" si="11"/>
        <v>0.7897881586094514</v>
      </c>
      <c r="P17" s="150" t="s">
        <v>30</v>
      </c>
      <c r="Q17" s="169">
        <v>4648</v>
      </c>
      <c r="R17" s="170">
        <v>1530</v>
      </c>
      <c r="S17" s="169"/>
      <c r="T17" s="171">
        <v>277</v>
      </c>
      <c r="U17" s="165">
        <f t="shared" si="4"/>
        <v>6178</v>
      </c>
      <c r="V17" s="187">
        <v>1530</v>
      </c>
      <c r="W17" s="171">
        <v>4648</v>
      </c>
      <c r="X17" s="171">
        <v>277</v>
      </c>
      <c r="Y17" s="165">
        <f t="shared" si="5"/>
        <v>6178</v>
      </c>
      <c r="Z17" s="165">
        <f t="shared" si="6"/>
        <v>0</v>
      </c>
      <c r="AA17" s="187"/>
      <c r="AB17" s="171"/>
      <c r="AC17" s="171"/>
      <c r="AD17" s="187"/>
      <c r="AE17" s="171"/>
      <c r="AF17" s="187"/>
      <c r="AG17" s="171"/>
      <c r="AH17" s="171"/>
      <c r="AI17" s="165">
        <f t="shared" si="7"/>
        <v>6178</v>
      </c>
      <c r="AJ17" s="169">
        <v>670</v>
      </c>
      <c r="AL17" s="216"/>
      <c r="AM17" s="214"/>
      <c r="AN17" s="212">
        <v>6178</v>
      </c>
      <c r="AO17" s="211">
        <f t="shared" si="8"/>
        <v>-5823</v>
      </c>
      <c r="AP17" s="212"/>
      <c r="AQ17" s="221"/>
      <c r="AR17" s="221"/>
    </row>
    <row r="18" spans="1:45" s="8" customFormat="1" ht="45.75" customHeight="1">
      <c r="A18" s="49" t="s">
        <v>31</v>
      </c>
      <c r="B18" s="43">
        <f t="shared" si="9"/>
        <v>8373</v>
      </c>
      <c r="C18" s="47">
        <f t="shared" si="10"/>
        <v>7155</v>
      </c>
      <c r="D18" s="45">
        <f t="shared" si="0"/>
        <v>0.8545324256538875</v>
      </c>
      <c r="E18" s="83">
        <v>6</v>
      </c>
      <c r="F18" s="88">
        <v>0</v>
      </c>
      <c r="G18" s="89">
        <v>0</v>
      </c>
      <c r="H18" s="86" t="s">
        <v>21</v>
      </c>
      <c r="I18" s="123">
        <v>5133</v>
      </c>
      <c r="J18" s="124">
        <f>3848+1285</f>
        <v>5133</v>
      </c>
      <c r="K18" s="86">
        <f>J18/I18</f>
        <v>1</v>
      </c>
      <c r="L18" s="125">
        <v>3240</v>
      </c>
      <c r="M18" s="151">
        <v>2022</v>
      </c>
      <c r="N18" s="149">
        <f t="shared" si="11"/>
        <v>0.6240740740740741</v>
      </c>
      <c r="P18" s="150" t="s">
        <v>31</v>
      </c>
      <c r="Q18" s="165">
        <v>35182</v>
      </c>
      <c r="R18" s="166">
        <v>9540</v>
      </c>
      <c r="S18" s="165">
        <v>8758</v>
      </c>
      <c r="T18" s="165">
        <v>5221</v>
      </c>
      <c r="U18" s="165">
        <f t="shared" si="4"/>
        <v>53480</v>
      </c>
      <c r="V18" s="166">
        <v>9540</v>
      </c>
      <c r="W18" s="165">
        <v>35182</v>
      </c>
      <c r="X18" s="165">
        <v>484</v>
      </c>
      <c r="Y18" s="165">
        <f t="shared" si="5"/>
        <v>44722</v>
      </c>
      <c r="Z18" s="165">
        <f t="shared" si="6"/>
        <v>0</v>
      </c>
      <c r="AA18" s="173"/>
      <c r="AB18" s="172"/>
      <c r="AC18" s="172"/>
      <c r="AD18" s="173"/>
      <c r="AE18" s="172"/>
      <c r="AF18" s="173">
        <v>0</v>
      </c>
      <c r="AG18" s="172"/>
      <c r="AH18" s="172"/>
      <c r="AI18" s="165">
        <f t="shared" si="7"/>
        <v>44722</v>
      </c>
      <c r="AJ18" s="172">
        <f>14481-6827</f>
        <v>7654</v>
      </c>
      <c r="AK18" s="217" t="s">
        <v>315</v>
      </c>
      <c r="AL18" s="218"/>
      <c r="AM18" s="219"/>
      <c r="AN18" s="220">
        <v>44722</v>
      </c>
      <c r="AO18" s="211">
        <f t="shared" si="8"/>
        <v>-44722</v>
      </c>
      <c r="AP18" s="220"/>
      <c r="AQ18" s="230"/>
      <c r="AR18" s="230"/>
      <c r="AS18" s="6"/>
    </row>
    <row r="19" spans="1:44" s="6" customFormat="1" ht="45.75" customHeight="1">
      <c r="A19" s="49" t="s">
        <v>32</v>
      </c>
      <c r="B19" s="43">
        <f t="shared" si="9"/>
        <v>5334</v>
      </c>
      <c r="C19" s="47">
        <f t="shared" si="10"/>
        <v>4870</v>
      </c>
      <c r="D19" s="45">
        <f t="shared" si="0"/>
        <v>0.9130108736407949</v>
      </c>
      <c r="E19" s="83">
        <v>3</v>
      </c>
      <c r="F19" s="88">
        <v>224</v>
      </c>
      <c r="G19" s="89">
        <v>224</v>
      </c>
      <c r="H19" s="86">
        <f>G19/F19</f>
        <v>1</v>
      </c>
      <c r="I19" s="123">
        <v>3163</v>
      </c>
      <c r="J19" s="124">
        <v>3163</v>
      </c>
      <c r="K19" s="86">
        <f>J19/I19</f>
        <v>1</v>
      </c>
      <c r="L19" s="125">
        <v>1947</v>
      </c>
      <c r="M19" s="151">
        <v>1483</v>
      </c>
      <c r="N19" s="149">
        <f t="shared" si="11"/>
        <v>0.7616846430405753</v>
      </c>
      <c r="P19" s="150" t="s">
        <v>32</v>
      </c>
      <c r="Q19" s="165">
        <v>9258</v>
      </c>
      <c r="R19" s="166">
        <v>3045</v>
      </c>
      <c r="S19" s="165">
        <v>4437</v>
      </c>
      <c r="T19" s="165">
        <v>1683</v>
      </c>
      <c r="U19" s="165">
        <f t="shared" si="4"/>
        <v>16740</v>
      </c>
      <c r="V19" s="166">
        <v>2903</v>
      </c>
      <c r="W19" s="165">
        <v>8371</v>
      </c>
      <c r="X19" s="172">
        <v>1051</v>
      </c>
      <c r="Y19" s="165">
        <f t="shared" si="5"/>
        <v>11274</v>
      </c>
      <c r="Z19" s="165">
        <f t="shared" si="6"/>
        <v>1029</v>
      </c>
      <c r="AA19" s="166">
        <v>142</v>
      </c>
      <c r="AB19" s="165">
        <v>857</v>
      </c>
      <c r="AC19" s="172">
        <v>182</v>
      </c>
      <c r="AD19" s="166"/>
      <c r="AE19" s="165"/>
      <c r="AF19" s="166"/>
      <c r="AG19" s="165">
        <v>30</v>
      </c>
      <c r="AH19" s="165">
        <v>512</v>
      </c>
      <c r="AI19" s="165">
        <f t="shared" si="7"/>
        <v>12303</v>
      </c>
      <c r="AJ19" s="165">
        <v>1685</v>
      </c>
      <c r="AK19" s="221"/>
      <c r="AL19" s="222"/>
      <c r="AM19" s="214"/>
      <c r="AN19" s="212">
        <v>12303</v>
      </c>
      <c r="AO19" s="211">
        <f t="shared" si="8"/>
        <v>-12079</v>
      </c>
      <c r="AP19" s="212"/>
      <c r="AQ19" s="221"/>
      <c r="AR19" s="221"/>
    </row>
    <row r="20" spans="1:45" s="8" customFormat="1" ht="45.75" customHeight="1">
      <c r="A20" s="49" t="s">
        <v>33</v>
      </c>
      <c r="B20" s="43">
        <f t="shared" si="9"/>
        <v>1600</v>
      </c>
      <c r="C20" s="47">
        <f t="shared" si="10"/>
        <v>1395</v>
      </c>
      <c r="D20" s="45">
        <f t="shared" si="0"/>
        <v>0.871875</v>
      </c>
      <c r="E20" s="83">
        <v>5</v>
      </c>
      <c r="F20" s="88">
        <v>871</v>
      </c>
      <c r="G20" s="89">
        <v>666</v>
      </c>
      <c r="H20" s="86">
        <f>G20/F20</f>
        <v>0.764638346727899</v>
      </c>
      <c r="I20" s="126">
        <v>0</v>
      </c>
      <c r="J20" s="124">
        <f>S20</f>
        <v>0</v>
      </c>
      <c r="K20" s="86" t="s">
        <v>21</v>
      </c>
      <c r="L20" s="125">
        <v>729</v>
      </c>
      <c r="M20" s="151">
        <v>729</v>
      </c>
      <c r="N20" s="149">
        <f t="shared" si="11"/>
        <v>1</v>
      </c>
      <c r="P20" s="150" t="s">
        <v>33</v>
      </c>
      <c r="Q20" s="163">
        <f>2564-48</f>
        <v>2516</v>
      </c>
      <c r="R20" s="164">
        <f>1161-552</f>
        <v>609</v>
      </c>
      <c r="S20" s="163"/>
      <c r="T20" s="163">
        <v>915</v>
      </c>
      <c r="U20" s="165">
        <f t="shared" si="4"/>
        <v>3125</v>
      </c>
      <c r="V20" s="188">
        <v>609</v>
      </c>
      <c r="W20" s="189">
        <v>2516</v>
      </c>
      <c r="X20" s="190">
        <v>915</v>
      </c>
      <c r="Y20" s="165">
        <f t="shared" si="5"/>
        <v>3125</v>
      </c>
      <c r="Z20" s="165">
        <f t="shared" si="6"/>
        <v>0</v>
      </c>
      <c r="AA20" s="201"/>
      <c r="AB20" s="190"/>
      <c r="AC20" s="190"/>
      <c r="AD20" s="201"/>
      <c r="AE20" s="190"/>
      <c r="AF20" s="201"/>
      <c r="AG20" s="190"/>
      <c r="AH20" s="190"/>
      <c r="AI20" s="165">
        <f t="shared" si="7"/>
        <v>3125</v>
      </c>
      <c r="AJ20" s="190">
        <v>609</v>
      </c>
      <c r="AL20" s="218"/>
      <c r="AM20" s="219"/>
      <c r="AN20" s="220">
        <v>3125</v>
      </c>
      <c r="AO20" s="211">
        <f t="shared" si="8"/>
        <v>-2459</v>
      </c>
      <c r="AP20" s="220"/>
      <c r="AQ20" s="230"/>
      <c r="AR20" s="230"/>
      <c r="AS20" s="6"/>
    </row>
    <row r="21" spans="1:44" s="6" customFormat="1" ht="45.75" customHeight="1">
      <c r="A21" s="42" t="s">
        <v>316</v>
      </c>
      <c r="B21" s="43">
        <v>5384</v>
      </c>
      <c r="C21" s="47">
        <v>4832</v>
      </c>
      <c r="D21" s="45">
        <f t="shared" si="0"/>
        <v>0.8974739970282318</v>
      </c>
      <c r="E21" s="83" t="s">
        <v>21</v>
      </c>
      <c r="F21" s="88">
        <v>0</v>
      </c>
      <c r="G21" s="89">
        <v>0</v>
      </c>
      <c r="H21" s="86" t="s">
        <v>21</v>
      </c>
      <c r="I21" s="123">
        <v>0</v>
      </c>
      <c r="J21" s="124">
        <f>S21</f>
        <v>0</v>
      </c>
      <c r="K21" s="86" t="s">
        <v>21</v>
      </c>
      <c r="L21" s="125">
        <v>0</v>
      </c>
      <c r="M21" s="151">
        <v>0</v>
      </c>
      <c r="N21" s="149" t="s">
        <v>21</v>
      </c>
      <c r="P21" s="150" t="s">
        <v>34</v>
      </c>
      <c r="Q21" s="165">
        <v>2101</v>
      </c>
      <c r="R21" s="166">
        <v>2731</v>
      </c>
      <c r="S21" s="162"/>
      <c r="T21" s="165">
        <v>0</v>
      </c>
      <c r="U21" s="165">
        <f t="shared" si="4"/>
        <v>4832</v>
      </c>
      <c r="V21" s="166">
        <v>2731</v>
      </c>
      <c r="W21" s="165">
        <v>2101</v>
      </c>
      <c r="X21" s="165"/>
      <c r="Y21" s="165">
        <f t="shared" si="5"/>
        <v>4832</v>
      </c>
      <c r="Z21" s="165">
        <f t="shared" si="6"/>
        <v>0</v>
      </c>
      <c r="AA21" s="166"/>
      <c r="AB21" s="165"/>
      <c r="AC21" s="165"/>
      <c r="AD21" s="166"/>
      <c r="AE21" s="165"/>
      <c r="AF21" s="166"/>
      <c r="AG21" s="165"/>
      <c r="AH21" s="165"/>
      <c r="AI21" s="165">
        <f t="shared" si="7"/>
        <v>4832</v>
      </c>
      <c r="AJ21" s="165">
        <v>308</v>
      </c>
      <c r="AL21" s="210"/>
      <c r="AM21" s="214"/>
      <c r="AN21" s="212">
        <v>4832</v>
      </c>
      <c r="AO21" s="211">
        <f t="shared" si="8"/>
        <v>-4832</v>
      </c>
      <c r="AP21" s="212"/>
      <c r="AQ21" s="221"/>
      <c r="AR21" s="221"/>
    </row>
    <row r="22" spans="1:44" s="6" customFormat="1" ht="45.75" customHeight="1">
      <c r="A22" s="51" t="s">
        <v>317</v>
      </c>
      <c r="B22" s="52">
        <f>F22+I22+L22</f>
        <v>9110</v>
      </c>
      <c r="C22" s="53">
        <f>G22+J22+M22</f>
        <v>7461</v>
      </c>
      <c r="D22" s="54">
        <f t="shared" si="0"/>
        <v>0.8189901207464325</v>
      </c>
      <c r="E22" s="93">
        <v>9</v>
      </c>
      <c r="F22" s="94">
        <v>0</v>
      </c>
      <c r="G22" s="95">
        <v>0</v>
      </c>
      <c r="H22" s="96" t="s">
        <v>21</v>
      </c>
      <c r="I22" s="127">
        <v>3946</v>
      </c>
      <c r="J22" s="128">
        <v>3946</v>
      </c>
      <c r="K22" s="129">
        <f>J22/I22</f>
        <v>1</v>
      </c>
      <c r="L22" s="130">
        <v>5164</v>
      </c>
      <c r="M22" s="152">
        <v>3515</v>
      </c>
      <c r="N22" s="153">
        <f>M22/L22</f>
        <v>0.6806738962044926</v>
      </c>
      <c r="P22" s="154" t="s">
        <v>35</v>
      </c>
      <c r="Q22" s="172">
        <v>7293</v>
      </c>
      <c r="R22" s="173">
        <v>4019</v>
      </c>
      <c r="S22" s="172">
        <v>3946</v>
      </c>
      <c r="T22" s="165">
        <v>3435</v>
      </c>
      <c r="U22" s="165">
        <f t="shared" si="4"/>
        <v>15258</v>
      </c>
      <c r="V22" s="166">
        <v>3319</v>
      </c>
      <c r="W22" s="172">
        <v>7293</v>
      </c>
      <c r="X22" s="165">
        <v>3435</v>
      </c>
      <c r="Y22" s="165">
        <f t="shared" si="5"/>
        <v>10612</v>
      </c>
      <c r="Z22" s="165">
        <f t="shared" si="6"/>
        <v>700</v>
      </c>
      <c r="AA22" s="166"/>
      <c r="AB22" s="165"/>
      <c r="AC22" s="165"/>
      <c r="AD22" s="166"/>
      <c r="AE22" s="165"/>
      <c r="AF22" s="166">
        <v>700</v>
      </c>
      <c r="AG22" s="165"/>
      <c r="AH22" s="165"/>
      <c r="AI22" s="165">
        <f t="shared" si="7"/>
        <v>11312</v>
      </c>
      <c r="AJ22" s="165">
        <v>2919</v>
      </c>
      <c r="AL22" s="210"/>
      <c r="AM22" s="208"/>
      <c r="AN22" s="223">
        <v>11312</v>
      </c>
      <c r="AO22" s="211">
        <f t="shared" si="8"/>
        <v>-11312</v>
      </c>
      <c r="AP22" s="221"/>
      <c r="AQ22" s="221"/>
      <c r="AR22" s="221"/>
    </row>
    <row r="23" spans="1:40" s="6" customFormat="1" ht="45.75" customHeight="1">
      <c r="A23" s="55" t="s">
        <v>318</v>
      </c>
      <c r="B23" s="56">
        <v>7375</v>
      </c>
      <c r="C23" s="57">
        <f>1836+3781</f>
        <v>5617</v>
      </c>
      <c r="D23" s="58">
        <f t="shared" si="0"/>
        <v>0.7616271186440678</v>
      </c>
      <c r="E23" s="97"/>
      <c r="F23" s="98"/>
      <c r="G23" s="99"/>
      <c r="H23" s="100"/>
      <c r="I23" s="100"/>
      <c r="J23" s="100"/>
      <c r="K23" s="100"/>
      <c r="L23" s="100"/>
      <c r="M23" s="100"/>
      <c r="N23" s="155"/>
      <c r="P23" s="156" t="s">
        <v>83</v>
      </c>
      <c r="Q23" s="165"/>
      <c r="R23" s="166">
        <v>37</v>
      </c>
      <c r="S23" s="165"/>
      <c r="T23" s="165"/>
      <c r="U23" s="165">
        <f t="shared" si="4"/>
        <v>37</v>
      </c>
      <c r="V23" s="166">
        <v>6793</v>
      </c>
      <c r="W23" s="165"/>
      <c r="X23" s="165"/>
      <c r="Y23" s="165">
        <f>V23+W23+X23</f>
        <v>6793</v>
      </c>
      <c r="Z23" s="165"/>
      <c r="AA23" s="166"/>
      <c r="AB23" s="165"/>
      <c r="AC23" s="165"/>
      <c r="AD23" s="166"/>
      <c r="AE23" s="165"/>
      <c r="AF23" s="166"/>
      <c r="AG23" s="165"/>
      <c r="AH23" s="165"/>
      <c r="AI23" s="165">
        <v>5373</v>
      </c>
      <c r="AJ23" s="165"/>
      <c r="AL23" s="224"/>
      <c r="AM23" s="207"/>
      <c r="AN23" s="225"/>
    </row>
    <row r="24" spans="1:42" s="9" customFormat="1" ht="60" customHeight="1">
      <c r="A24" s="59" t="s">
        <v>319</v>
      </c>
      <c r="B24" s="60">
        <v>3567</v>
      </c>
      <c r="C24" s="61">
        <v>3329</v>
      </c>
      <c r="D24" s="62">
        <f t="shared" si="0"/>
        <v>0.9332772638071208</v>
      </c>
      <c r="E24" s="101"/>
      <c r="F24" s="102"/>
      <c r="G24" s="103"/>
      <c r="H24" s="103"/>
      <c r="I24" s="131"/>
      <c r="J24" s="131"/>
      <c r="K24" s="103"/>
      <c r="L24" s="132"/>
      <c r="M24" s="157"/>
      <c r="N24" s="158"/>
      <c r="P24" s="159" t="s">
        <v>84</v>
      </c>
      <c r="Q24" s="165"/>
      <c r="R24" s="174"/>
      <c r="S24" s="165">
        <v>2398</v>
      </c>
      <c r="T24" s="175"/>
      <c r="U24" s="165">
        <f t="shared" si="4"/>
        <v>2398</v>
      </c>
      <c r="V24" s="174"/>
      <c r="W24" s="165">
        <v>3571</v>
      </c>
      <c r="X24" s="165"/>
      <c r="Y24" s="165">
        <f>V24+W24+X24</f>
        <v>3571</v>
      </c>
      <c r="Z24" s="165"/>
      <c r="AA24" s="174"/>
      <c r="AB24" s="175"/>
      <c r="AC24" s="175"/>
      <c r="AD24" s="174"/>
      <c r="AE24" s="175"/>
      <c r="AF24" s="174"/>
      <c r="AG24" s="175"/>
      <c r="AH24" s="175"/>
      <c r="AI24" s="165">
        <v>3571</v>
      </c>
      <c r="AJ24" s="175"/>
      <c r="AL24" s="224"/>
      <c r="AM24" s="207"/>
      <c r="AN24" s="225"/>
      <c r="AO24" s="6"/>
      <c r="AP24" s="6"/>
    </row>
    <row r="25" spans="1:40" ht="25.5">
      <c r="A25" s="63" t="s">
        <v>323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AM25" s="207"/>
      <c r="AN25" s="226"/>
    </row>
    <row r="26" spans="1:40" ht="27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AM26" s="207"/>
      <c r="AN26" s="227"/>
    </row>
    <row r="27" spans="1:42" s="10" customFormat="1" ht="25.5">
      <c r="A27" s="11"/>
      <c r="B27" s="64"/>
      <c r="C27" s="65"/>
      <c r="D27" s="64"/>
      <c r="E27" s="64"/>
      <c r="F27" s="104"/>
      <c r="G27" s="105"/>
      <c r="H27" s="106"/>
      <c r="I27" s="133"/>
      <c r="J27" s="133"/>
      <c r="K27" s="134"/>
      <c r="L27" s="107"/>
      <c r="M27" s="107"/>
      <c r="P27" s="160"/>
      <c r="Q27" s="176"/>
      <c r="R27" s="176"/>
      <c r="S27" s="176"/>
      <c r="T27" s="176"/>
      <c r="U27" s="176"/>
      <c r="V27" s="176"/>
      <c r="W27" s="176"/>
      <c r="X27" s="191"/>
      <c r="Y27" s="176"/>
      <c r="Z27" s="176"/>
      <c r="AA27" s="176"/>
      <c r="AB27" s="176"/>
      <c r="AC27" s="191"/>
      <c r="AD27" s="176"/>
      <c r="AE27" s="176"/>
      <c r="AF27" s="176"/>
      <c r="AG27" s="176"/>
      <c r="AH27" s="191"/>
      <c r="AI27" s="176"/>
      <c r="AJ27" s="176"/>
      <c r="AL27" s="20"/>
      <c r="AM27" s="207"/>
      <c r="AN27" s="11"/>
      <c r="AO27" s="11"/>
      <c r="AP27" s="11"/>
    </row>
    <row r="28" spans="1:40" s="10" customFormat="1" ht="25.5">
      <c r="A28" s="11"/>
      <c r="B28" s="64"/>
      <c r="C28" s="66"/>
      <c r="D28" s="64"/>
      <c r="E28" s="107"/>
      <c r="F28" s="104"/>
      <c r="G28" s="105"/>
      <c r="H28" s="106"/>
      <c r="I28" s="133"/>
      <c r="J28" s="133"/>
      <c r="K28" s="134"/>
      <c r="L28" s="107"/>
      <c r="M28" s="107"/>
      <c r="P28" s="160"/>
      <c r="Q28" s="176"/>
      <c r="R28" s="176"/>
      <c r="S28" s="176"/>
      <c r="T28" s="176">
        <v>1215</v>
      </c>
      <c r="U28" s="176"/>
      <c r="V28" s="176">
        <v>1718</v>
      </c>
      <c r="W28" s="176">
        <v>1499</v>
      </c>
      <c r="X28" s="191"/>
      <c r="Y28" s="176">
        <f>V28-W28</f>
        <v>219</v>
      </c>
      <c r="Z28" s="176"/>
      <c r="AA28" s="176">
        <v>5073</v>
      </c>
      <c r="AB28" s="176"/>
      <c r="AC28" s="191"/>
      <c r="AD28" s="176"/>
      <c r="AE28" s="176"/>
      <c r="AF28" s="176"/>
      <c r="AG28" s="176"/>
      <c r="AH28" s="191"/>
      <c r="AI28" s="176"/>
      <c r="AJ28" s="176"/>
      <c r="AL28" s="228"/>
      <c r="AM28" s="207"/>
      <c r="AN28" s="11"/>
    </row>
    <row r="29" spans="1:39" s="10" customFormat="1" ht="25.5">
      <c r="A29" s="11"/>
      <c r="B29" s="64"/>
      <c r="C29" s="66"/>
      <c r="D29" s="64"/>
      <c r="E29" s="64"/>
      <c r="F29" s="104"/>
      <c r="G29" s="105"/>
      <c r="H29" s="106"/>
      <c r="I29" s="133"/>
      <c r="J29" s="133"/>
      <c r="K29" s="134"/>
      <c r="L29" s="107"/>
      <c r="M29" s="107"/>
      <c r="P29" s="160"/>
      <c r="Q29" s="176"/>
      <c r="R29" s="176"/>
      <c r="S29" s="176"/>
      <c r="T29" s="176"/>
      <c r="U29" s="176"/>
      <c r="V29" s="176"/>
      <c r="W29" s="176"/>
      <c r="X29" s="191"/>
      <c r="Y29" s="176"/>
      <c r="Z29" s="176"/>
      <c r="AA29" s="176"/>
      <c r="AB29" s="176"/>
      <c r="AC29" s="191"/>
      <c r="AD29" s="176"/>
      <c r="AE29" s="176"/>
      <c r="AF29" s="176"/>
      <c r="AG29" s="176"/>
      <c r="AH29" s="191"/>
      <c r="AI29" s="176"/>
      <c r="AJ29" s="176"/>
      <c r="AL29" s="228"/>
      <c r="AM29" s="207"/>
    </row>
    <row r="30" spans="1:39" s="10" customFormat="1" ht="25.5">
      <c r="A30" s="11"/>
      <c r="B30" s="64"/>
      <c r="C30" s="66"/>
      <c r="D30" s="64"/>
      <c r="E30" s="64"/>
      <c r="F30" s="104"/>
      <c r="G30" s="105"/>
      <c r="H30" s="106"/>
      <c r="I30" s="133"/>
      <c r="J30" s="133"/>
      <c r="K30" s="134"/>
      <c r="L30" s="107"/>
      <c r="M30" s="107"/>
      <c r="P30" s="160"/>
      <c r="Q30" s="176"/>
      <c r="R30" s="176"/>
      <c r="S30" s="176"/>
      <c r="T30" s="176">
        <v>291</v>
      </c>
      <c r="U30" s="176"/>
      <c r="V30" s="176">
        <v>1466</v>
      </c>
      <c r="W30" s="176"/>
      <c r="X30" s="191"/>
      <c r="Y30" s="176"/>
      <c r="Z30" s="176"/>
      <c r="AA30" s="176">
        <v>126</v>
      </c>
      <c r="AB30" s="176"/>
      <c r="AC30" s="191"/>
      <c r="AD30" s="176"/>
      <c r="AE30" s="176"/>
      <c r="AF30" s="176"/>
      <c r="AG30" s="176"/>
      <c r="AH30" s="191"/>
      <c r="AI30" s="176"/>
      <c r="AJ30" s="176"/>
      <c r="AL30" s="228"/>
      <c r="AM30" s="207"/>
    </row>
    <row r="31" spans="1:39" s="10" customFormat="1" ht="25.5">
      <c r="A31" s="11"/>
      <c r="B31" s="64"/>
      <c r="C31" s="66"/>
      <c r="D31" s="64"/>
      <c r="E31" s="64"/>
      <c r="F31" s="104"/>
      <c r="G31" s="105"/>
      <c r="H31" s="106"/>
      <c r="I31" s="133"/>
      <c r="J31" s="133"/>
      <c r="K31" s="134"/>
      <c r="L31" s="107"/>
      <c r="M31" s="107"/>
      <c r="P31" s="160"/>
      <c r="Q31" s="176"/>
      <c r="R31" s="176"/>
      <c r="S31" s="176">
        <f>T28-T30</f>
        <v>924</v>
      </c>
      <c r="T31" s="176"/>
      <c r="U31" s="176"/>
      <c r="V31" s="176">
        <v>33</v>
      </c>
      <c r="W31" s="176"/>
      <c r="X31" s="191"/>
      <c r="Y31" s="176"/>
      <c r="Z31" s="176">
        <f>AA28-AA30</f>
        <v>4947</v>
      </c>
      <c r="AA31" s="176"/>
      <c r="AB31" s="176"/>
      <c r="AC31" s="191"/>
      <c r="AD31" s="176"/>
      <c r="AE31" s="176"/>
      <c r="AF31" s="176"/>
      <c r="AG31" s="176"/>
      <c r="AH31" s="191"/>
      <c r="AI31" s="176"/>
      <c r="AJ31" s="176"/>
      <c r="AL31" s="228"/>
      <c r="AM31" s="228"/>
    </row>
    <row r="32" spans="1:39" s="10" customFormat="1" ht="25.5">
      <c r="A32" s="11"/>
      <c r="B32" s="64"/>
      <c r="C32" s="66"/>
      <c r="D32" s="64"/>
      <c r="E32" s="64"/>
      <c r="F32" s="104"/>
      <c r="G32" s="105"/>
      <c r="H32" s="106"/>
      <c r="I32" s="133"/>
      <c r="J32" s="133"/>
      <c r="K32" s="134"/>
      <c r="L32" s="107"/>
      <c r="M32" s="107"/>
      <c r="P32" s="160"/>
      <c r="Q32" s="176"/>
      <c r="R32" s="176"/>
      <c r="S32" s="176"/>
      <c r="T32" s="176"/>
      <c r="U32" s="176"/>
      <c r="V32" s="176"/>
      <c r="W32" s="176"/>
      <c r="X32" s="191"/>
      <c r="Y32" s="176"/>
      <c r="Z32" s="176"/>
      <c r="AA32" s="176"/>
      <c r="AB32" s="176"/>
      <c r="AC32" s="191"/>
      <c r="AD32" s="176"/>
      <c r="AE32" s="176"/>
      <c r="AF32" s="176"/>
      <c r="AG32" s="176"/>
      <c r="AH32" s="191"/>
      <c r="AI32" s="176"/>
      <c r="AJ32" s="176"/>
      <c r="AL32" s="228"/>
      <c r="AM32" s="228"/>
    </row>
    <row r="33" spans="1:39" s="10" customFormat="1" ht="25.5">
      <c r="A33" s="11"/>
      <c r="B33" s="64"/>
      <c r="C33" s="66"/>
      <c r="D33" s="64"/>
      <c r="E33" s="64"/>
      <c r="F33" s="104"/>
      <c r="G33" s="105"/>
      <c r="H33" s="106"/>
      <c r="I33" s="133"/>
      <c r="J33" s="133"/>
      <c r="K33" s="134"/>
      <c r="L33" s="107"/>
      <c r="M33" s="107"/>
      <c r="P33" s="160"/>
      <c r="Q33" s="176"/>
      <c r="R33" s="176"/>
      <c r="S33" s="176"/>
      <c r="T33" s="176"/>
      <c r="U33" s="176"/>
      <c r="V33" s="176">
        <f>V28-V30-V31</f>
        <v>219</v>
      </c>
      <c r="W33" s="176"/>
      <c r="X33" s="191"/>
      <c r="Y33" s="176"/>
      <c r="Z33" s="176"/>
      <c r="AA33" s="176"/>
      <c r="AB33" s="176"/>
      <c r="AC33" s="191"/>
      <c r="AD33" s="176"/>
      <c r="AE33" s="176"/>
      <c r="AF33" s="176"/>
      <c r="AG33" s="176"/>
      <c r="AH33" s="191"/>
      <c r="AI33" s="176"/>
      <c r="AJ33" s="176"/>
      <c r="AL33" s="228"/>
      <c r="AM33" s="228"/>
    </row>
    <row r="34" spans="1:39" s="10" customFormat="1" ht="25.5">
      <c r="A34" s="11"/>
      <c r="B34" s="3"/>
      <c r="C34" s="12"/>
      <c r="D34" s="3"/>
      <c r="E34" s="3"/>
      <c r="F34" s="11"/>
      <c r="G34" s="9"/>
      <c r="H34" s="13"/>
      <c r="I34" s="135"/>
      <c r="J34" s="135"/>
      <c r="K34" s="136"/>
      <c r="L34" s="16"/>
      <c r="M34" s="16"/>
      <c r="P34" s="160"/>
      <c r="Q34" s="176"/>
      <c r="R34" s="176"/>
      <c r="S34" s="176"/>
      <c r="T34" s="176"/>
      <c r="U34" s="176"/>
      <c r="V34" s="176"/>
      <c r="W34" s="176"/>
      <c r="X34" s="191"/>
      <c r="Y34" s="176"/>
      <c r="Z34" s="176"/>
      <c r="AA34" s="176"/>
      <c r="AB34" s="176"/>
      <c r="AC34" s="191"/>
      <c r="AD34" s="176"/>
      <c r="AE34" s="176"/>
      <c r="AF34" s="176"/>
      <c r="AG34" s="176"/>
      <c r="AH34" s="191"/>
      <c r="AI34" s="176"/>
      <c r="AJ34" s="176"/>
      <c r="AL34" s="228"/>
      <c r="AM34" s="228"/>
    </row>
    <row r="35" spans="1:39" s="10" customFormat="1" ht="25.5">
      <c r="A35" s="11"/>
      <c r="B35" s="3"/>
      <c r="C35" s="12"/>
      <c r="D35" s="3"/>
      <c r="E35" s="3"/>
      <c r="F35" s="11"/>
      <c r="G35" s="9"/>
      <c r="H35" s="13"/>
      <c r="I35" s="135"/>
      <c r="J35" s="135"/>
      <c r="K35" s="136"/>
      <c r="L35" s="16"/>
      <c r="M35" s="16"/>
      <c r="P35" s="160"/>
      <c r="Q35" s="176"/>
      <c r="R35" s="176"/>
      <c r="S35" s="176"/>
      <c r="T35" s="176"/>
      <c r="U35" s="176"/>
      <c r="V35" s="176"/>
      <c r="W35" s="176"/>
      <c r="X35" s="191"/>
      <c r="Y35" s="176"/>
      <c r="Z35" s="176"/>
      <c r="AA35" s="176"/>
      <c r="AB35" s="176"/>
      <c r="AC35" s="191"/>
      <c r="AD35" s="176"/>
      <c r="AE35" s="176"/>
      <c r="AF35" s="176"/>
      <c r="AG35" s="176"/>
      <c r="AH35" s="191"/>
      <c r="AI35" s="176"/>
      <c r="AJ35" s="176"/>
      <c r="AL35" s="228"/>
      <c r="AM35" s="228"/>
    </row>
    <row r="36" spans="1:39" s="10" customFormat="1" ht="25.5">
      <c r="A36" s="11"/>
      <c r="B36" s="3"/>
      <c r="C36" s="12"/>
      <c r="D36" s="3"/>
      <c r="E36" s="3"/>
      <c r="F36" s="11"/>
      <c r="G36" s="9"/>
      <c r="H36" s="13"/>
      <c r="I36" s="135"/>
      <c r="J36" s="135"/>
      <c r="K36" s="136"/>
      <c r="L36" s="16"/>
      <c r="M36" s="16"/>
      <c r="P36" s="160"/>
      <c r="Q36" s="176"/>
      <c r="R36" s="176"/>
      <c r="S36" s="176"/>
      <c r="T36" s="176"/>
      <c r="U36" s="176"/>
      <c r="V36" s="176"/>
      <c r="W36" s="176"/>
      <c r="X36" s="191"/>
      <c r="Y36" s="176"/>
      <c r="Z36" s="176"/>
      <c r="AA36" s="176"/>
      <c r="AB36" s="176"/>
      <c r="AC36" s="191"/>
      <c r="AD36" s="176"/>
      <c r="AE36" s="176"/>
      <c r="AF36" s="176"/>
      <c r="AG36" s="176"/>
      <c r="AH36" s="191"/>
      <c r="AI36" s="176"/>
      <c r="AJ36" s="176"/>
      <c r="AL36" s="228"/>
      <c r="AM36" s="228"/>
    </row>
    <row r="37" spans="1:39" s="10" customFormat="1" ht="25.5">
      <c r="A37" s="11"/>
      <c r="B37" s="3"/>
      <c r="C37" s="12"/>
      <c r="D37" s="3"/>
      <c r="E37" s="3"/>
      <c r="F37" s="11"/>
      <c r="G37" s="9"/>
      <c r="H37" s="13"/>
      <c r="I37" s="135"/>
      <c r="J37" s="135"/>
      <c r="K37" s="136"/>
      <c r="L37" s="16"/>
      <c r="M37" s="16"/>
      <c r="P37" s="160"/>
      <c r="Q37" s="176"/>
      <c r="R37" s="176"/>
      <c r="S37" s="176"/>
      <c r="T37" s="176"/>
      <c r="U37" s="176"/>
      <c r="V37" s="176"/>
      <c r="W37" s="176"/>
      <c r="X37" s="191"/>
      <c r="Y37" s="176"/>
      <c r="Z37" s="176"/>
      <c r="AA37" s="176"/>
      <c r="AB37" s="176"/>
      <c r="AC37" s="191"/>
      <c r="AD37" s="176"/>
      <c r="AE37" s="176"/>
      <c r="AF37" s="176"/>
      <c r="AG37" s="176"/>
      <c r="AH37" s="191"/>
      <c r="AI37" s="176"/>
      <c r="AJ37" s="176"/>
      <c r="AL37" s="228"/>
      <c r="AM37" s="228"/>
    </row>
    <row r="38" spans="1:39" s="10" customFormat="1" ht="25.5">
      <c r="A38" s="11"/>
      <c r="B38" s="3"/>
      <c r="C38" s="12"/>
      <c r="D38" s="3"/>
      <c r="E38" s="3"/>
      <c r="F38" s="11"/>
      <c r="G38" s="9"/>
      <c r="H38" s="13"/>
      <c r="I38" s="135"/>
      <c r="J38" s="135"/>
      <c r="K38" s="136"/>
      <c r="L38" s="16"/>
      <c r="M38" s="16"/>
      <c r="P38" s="160"/>
      <c r="Q38" s="176"/>
      <c r="R38" s="176"/>
      <c r="S38" s="176"/>
      <c r="T38" s="176"/>
      <c r="U38" s="176"/>
      <c r="V38" s="176"/>
      <c r="W38" s="176"/>
      <c r="X38" s="191"/>
      <c r="Y38" s="176"/>
      <c r="Z38" s="176"/>
      <c r="AA38" s="176"/>
      <c r="AB38" s="176"/>
      <c r="AC38" s="191"/>
      <c r="AD38" s="176"/>
      <c r="AE38" s="176"/>
      <c r="AF38" s="176"/>
      <c r="AG38" s="176"/>
      <c r="AH38" s="191"/>
      <c r="AI38" s="176"/>
      <c r="AJ38" s="176"/>
      <c r="AL38" s="228"/>
      <c r="AM38" s="228"/>
    </row>
    <row r="39" spans="1:39" s="10" customFormat="1" ht="25.5">
      <c r="A39" s="11"/>
      <c r="B39" s="3"/>
      <c r="C39" s="12"/>
      <c r="D39" s="3"/>
      <c r="E39" s="3"/>
      <c r="F39" s="11"/>
      <c r="G39" s="9"/>
      <c r="H39" s="13"/>
      <c r="I39" s="135"/>
      <c r="J39" s="135"/>
      <c r="K39" s="136"/>
      <c r="L39" s="16"/>
      <c r="M39" s="16"/>
      <c r="P39" s="160"/>
      <c r="Q39" s="176"/>
      <c r="R39" s="176"/>
      <c r="S39" s="176"/>
      <c r="T39" s="176"/>
      <c r="U39" s="176"/>
      <c r="V39" s="176"/>
      <c r="W39" s="176"/>
      <c r="X39" s="191"/>
      <c r="Y39" s="176"/>
      <c r="Z39" s="176"/>
      <c r="AA39" s="176"/>
      <c r="AB39" s="176"/>
      <c r="AC39" s="191"/>
      <c r="AD39" s="176"/>
      <c r="AE39" s="176"/>
      <c r="AF39" s="176"/>
      <c r="AG39" s="176"/>
      <c r="AH39" s="191"/>
      <c r="AI39" s="176"/>
      <c r="AJ39" s="176"/>
      <c r="AL39" s="228"/>
      <c r="AM39" s="228"/>
    </row>
    <row r="40" spans="1:39" s="10" customFormat="1" ht="25.5">
      <c r="A40" s="11"/>
      <c r="B40" s="3"/>
      <c r="C40" s="12"/>
      <c r="D40" s="3"/>
      <c r="E40" s="3"/>
      <c r="F40" s="11"/>
      <c r="G40" s="9"/>
      <c r="H40" s="13"/>
      <c r="I40" s="135"/>
      <c r="J40" s="135"/>
      <c r="K40" s="136"/>
      <c r="L40" s="16"/>
      <c r="M40" s="16"/>
      <c r="P40" s="160"/>
      <c r="Q40" s="176"/>
      <c r="R40" s="176"/>
      <c r="S40" s="176"/>
      <c r="T40" s="176"/>
      <c r="U40" s="176"/>
      <c r="V40" s="176"/>
      <c r="W40" s="176"/>
      <c r="X40" s="191"/>
      <c r="Y40" s="176"/>
      <c r="Z40" s="176"/>
      <c r="AA40" s="176"/>
      <c r="AB40" s="176"/>
      <c r="AC40" s="191"/>
      <c r="AD40" s="176"/>
      <c r="AE40" s="176"/>
      <c r="AF40" s="176"/>
      <c r="AG40" s="176"/>
      <c r="AH40" s="191"/>
      <c r="AI40" s="176"/>
      <c r="AJ40" s="176"/>
      <c r="AL40" s="228"/>
      <c r="AM40" s="228"/>
    </row>
    <row r="41" spans="1:39" s="10" customFormat="1" ht="25.5">
      <c r="A41" s="11"/>
      <c r="B41" s="3"/>
      <c r="C41" s="12"/>
      <c r="D41" s="3"/>
      <c r="E41" s="3"/>
      <c r="F41" s="11"/>
      <c r="G41" s="9"/>
      <c r="H41" s="13"/>
      <c r="I41" s="135"/>
      <c r="J41" s="135"/>
      <c r="K41" s="136"/>
      <c r="L41" s="16"/>
      <c r="M41" s="16"/>
      <c r="P41" s="160"/>
      <c r="Q41" s="176"/>
      <c r="R41" s="176"/>
      <c r="S41" s="176"/>
      <c r="T41" s="176"/>
      <c r="U41" s="176"/>
      <c r="V41" s="176"/>
      <c r="W41" s="176"/>
      <c r="X41" s="191"/>
      <c r="Y41" s="176"/>
      <c r="Z41" s="176"/>
      <c r="AA41" s="176"/>
      <c r="AB41" s="176"/>
      <c r="AC41" s="191"/>
      <c r="AD41" s="176"/>
      <c r="AE41" s="176"/>
      <c r="AF41" s="176"/>
      <c r="AG41" s="176"/>
      <c r="AH41" s="191"/>
      <c r="AI41" s="176"/>
      <c r="AJ41" s="176"/>
      <c r="AL41" s="228"/>
      <c r="AM41" s="228"/>
    </row>
    <row r="42" spans="1:39" s="10" customFormat="1" ht="25.5">
      <c r="A42" s="11"/>
      <c r="B42" s="3"/>
      <c r="C42" s="12"/>
      <c r="D42" s="3"/>
      <c r="E42" s="3"/>
      <c r="F42" s="11"/>
      <c r="G42" s="9"/>
      <c r="H42" s="13"/>
      <c r="I42" s="135"/>
      <c r="J42" s="135"/>
      <c r="K42" s="136"/>
      <c r="L42" s="16"/>
      <c r="M42" s="16"/>
      <c r="P42" s="160"/>
      <c r="Q42" s="176"/>
      <c r="R42" s="176"/>
      <c r="S42" s="176"/>
      <c r="T42" s="176"/>
      <c r="U42" s="176"/>
      <c r="V42" s="176"/>
      <c r="W42" s="176"/>
      <c r="X42" s="191"/>
      <c r="Y42" s="176"/>
      <c r="Z42" s="176"/>
      <c r="AA42" s="176"/>
      <c r="AB42" s="176"/>
      <c r="AC42" s="191"/>
      <c r="AD42" s="176"/>
      <c r="AE42" s="176"/>
      <c r="AF42" s="176"/>
      <c r="AG42" s="176"/>
      <c r="AH42" s="191"/>
      <c r="AI42" s="176"/>
      <c r="AJ42" s="176"/>
      <c r="AL42" s="228"/>
      <c r="AM42" s="228"/>
    </row>
    <row r="43" spans="1:39" s="10" customFormat="1" ht="25.5">
      <c r="A43" s="11"/>
      <c r="B43" s="3"/>
      <c r="C43" s="12"/>
      <c r="D43" s="3"/>
      <c r="E43" s="3"/>
      <c r="F43" s="11"/>
      <c r="G43" s="9"/>
      <c r="H43" s="13"/>
      <c r="I43" s="135"/>
      <c r="J43" s="135"/>
      <c r="K43" s="136"/>
      <c r="L43" s="16"/>
      <c r="M43" s="16"/>
      <c r="P43" s="160"/>
      <c r="Q43" s="176"/>
      <c r="R43" s="176"/>
      <c r="S43" s="176"/>
      <c r="T43" s="176"/>
      <c r="U43" s="176"/>
      <c r="V43" s="176"/>
      <c r="W43" s="176"/>
      <c r="X43" s="191"/>
      <c r="Y43" s="176"/>
      <c r="Z43" s="176"/>
      <c r="AA43" s="176"/>
      <c r="AB43" s="176"/>
      <c r="AC43" s="191"/>
      <c r="AD43" s="176"/>
      <c r="AE43" s="176"/>
      <c r="AF43" s="176"/>
      <c r="AG43" s="176"/>
      <c r="AH43" s="191"/>
      <c r="AI43" s="176"/>
      <c r="AJ43" s="176"/>
      <c r="AL43" s="228"/>
      <c r="AM43" s="228"/>
    </row>
    <row r="44" spans="1:39" s="10" customFormat="1" ht="25.5">
      <c r="A44" s="11"/>
      <c r="B44" s="3"/>
      <c r="C44" s="12"/>
      <c r="D44" s="3"/>
      <c r="E44" s="3"/>
      <c r="F44" s="11"/>
      <c r="G44" s="9"/>
      <c r="H44" s="13"/>
      <c r="I44" s="135"/>
      <c r="J44" s="135"/>
      <c r="K44" s="136"/>
      <c r="L44" s="16"/>
      <c r="M44" s="16"/>
      <c r="P44" s="160"/>
      <c r="Q44" s="176"/>
      <c r="R44" s="176"/>
      <c r="S44" s="176"/>
      <c r="T44" s="176"/>
      <c r="U44" s="176"/>
      <c r="V44" s="176"/>
      <c r="W44" s="176"/>
      <c r="X44" s="191"/>
      <c r="Y44" s="176"/>
      <c r="Z44" s="176"/>
      <c r="AA44" s="176"/>
      <c r="AB44" s="176"/>
      <c r="AC44" s="191"/>
      <c r="AD44" s="176"/>
      <c r="AE44" s="176"/>
      <c r="AF44" s="176"/>
      <c r="AG44" s="176"/>
      <c r="AH44" s="191"/>
      <c r="AI44" s="176"/>
      <c r="AJ44" s="176"/>
      <c r="AL44" s="228"/>
      <c r="AM44" s="228"/>
    </row>
    <row r="45" spans="38:42" ht="25.5">
      <c r="AL45" s="228"/>
      <c r="AM45" s="228"/>
      <c r="AN45" s="10"/>
      <c r="AO45" s="10"/>
      <c r="AP45" s="10"/>
    </row>
    <row r="46" spans="39:40" ht="25.5">
      <c r="AM46" s="228"/>
      <c r="AN46" s="10"/>
    </row>
  </sheetData>
  <sheetProtection/>
  <mergeCells count="36">
    <mergeCell ref="A2:N2"/>
    <mergeCell ref="Q2:U2"/>
    <mergeCell ref="B3:E3"/>
    <mergeCell ref="F3:H3"/>
    <mergeCell ref="I3:K3"/>
    <mergeCell ref="L3:N3"/>
    <mergeCell ref="AA3:AH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3:P5"/>
    <mergeCell ref="Q3:Q5"/>
    <mergeCell ref="R3:R5"/>
    <mergeCell ref="S3:S5"/>
    <mergeCell ref="T3:T5"/>
    <mergeCell ref="U3:U5"/>
    <mergeCell ref="Y6:Y7"/>
    <mergeCell ref="Z4:Z5"/>
    <mergeCell ref="AI3:AI5"/>
    <mergeCell ref="AJ3:AJ5"/>
    <mergeCell ref="A25:N26"/>
    <mergeCell ref="V3:Y5"/>
    <mergeCell ref="AA4:AC5"/>
    <mergeCell ref="AD4:AE5"/>
    <mergeCell ref="AF4:AH5"/>
  </mergeCells>
  <printOptions/>
  <pageMargins left="0.39305555555555555" right="0.19652777777777777" top="0.4722222222222222" bottom="1.1805555555555556" header="0.35" footer="0.5118055555555555"/>
  <pageSetup fitToHeight="0" horizontalDpi="600" verticalDpi="600" orientation="portrait" paperSize="9" scale="58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zoomScaleSheetLayoutView="100" workbookViewId="0" topLeftCell="A1">
      <selection activeCell="A14" sqref="A14"/>
    </sheetView>
  </sheetViews>
  <sheetFormatPr defaultColWidth="9.00390625" defaultRowHeight="15"/>
  <sheetData>
    <row r="1" spans="1:2" ht="13.5">
      <c r="A1" s="1" t="s">
        <v>324</v>
      </c>
      <c r="B1" s="2">
        <v>0.9838078944152512</v>
      </c>
    </row>
    <row r="2" spans="1:2" ht="13.5">
      <c r="A2" s="1" t="s">
        <v>325</v>
      </c>
      <c r="B2" s="2">
        <v>0.9812428641330941</v>
      </c>
    </row>
    <row r="3" spans="1:2" ht="13.5">
      <c r="A3" s="1" t="s">
        <v>326</v>
      </c>
      <c r="B3" s="2">
        <v>0.9782253318511738</v>
      </c>
    </row>
    <row r="4" spans="1:2" ht="13.5">
      <c r="A4" s="1" t="s">
        <v>327</v>
      </c>
      <c r="B4" s="2">
        <v>0.974777412464902</v>
      </c>
    </row>
    <row r="5" spans="1:2" ht="13.5">
      <c r="A5" s="1" t="s">
        <v>22</v>
      </c>
      <c r="B5" s="2">
        <v>0.9684337780961763</v>
      </c>
    </row>
    <row r="6" spans="1:2" ht="13.5">
      <c r="A6" s="1" t="s">
        <v>328</v>
      </c>
      <c r="B6" s="2">
        <v>0.9684094661529995</v>
      </c>
    </row>
    <row r="7" spans="1:2" ht="13.5">
      <c r="A7" s="1" t="s">
        <v>329</v>
      </c>
      <c r="B7" s="2">
        <v>0.9634407778883699</v>
      </c>
    </row>
    <row r="8" spans="1:2" ht="13.5">
      <c r="A8" s="1" t="s">
        <v>23</v>
      </c>
      <c r="B8" s="2">
        <v>0.9621236087544218</v>
      </c>
    </row>
    <row r="9" spans="1:2" ht="13.5">
      <c r="A9" s="1" t="s">
        <v>330</v>
      </c>
      <c r="B9" s="2">
        <v>0.9568627450980393</v>
      </c>
    </row>
    <row r="10" spans="1:2" ht="13.5">
      <c r="A10" s="1" t="s">
        <v>331</v>
      </c>
      <c r="B10" s="2">
        <v>0.9553033290148144</v>
      </c>
    </row>
    <row r="11" spans="1:2" ht="13.5">
      <c r="A11" s="1" t="s">
        <v>332</v>
      </c>
      <c r="B11" s="2">
        <v>0.9511384306592234</v>
      </c>
    </row>
    <row r="12" spans="1:2" ht="13.5">
      <c r="A12" s="1" t="s">
        <v>333</v>
      </c>
      <c r="B12" s="2">
        <v>0.9417424772568229</v>
      </c>
    </row>
    <row r="13" spans="1:2" ht="13.5">
      <c r="A13" s="1" t="s">
        <v>334</v>
      </c>
      <c r="B13" s="2">
        <v>0.9209429495515321</v>
      </c>
    </row>
    <row r="14" spans="1:2" ht="13.5">
      <c r="A14" s="1" t="s">
        <v>335</v>
      </c>
      <c r="B14" s="2">
        <v>0.9147610851569543</v>
      </c>
    </row>
    <row r="23" ht="13.5">
      <c r="A23" t="s">
        <v>336</v>
      </c>
    </row>
    <row r="24" ht="13.5">
      <c r="A24" t="s">
        <v>337</v>
      </c>
    </row>
    <row r="25" ht="13.5">
      <c r="A25" t="s">
        <v>338</v>
      </c>
    </row>
    <row r="26" ht="13.5">
      <c r="A26" t="s">
        <v>339</v>
      </c>
    </row>
    <row r="27" ht="13.5">
      <c r="A27" t="s">
        <v>340</v>
      </c>
    </row>
    <row r="28" ht="13.5">
      <c r="A28" t="s">
        <v>341</v>
      </c>
    </row>
    <row r="29" ht="13.5">
      <c r="A29" t="s">
        <v>342</v>
      </c>
    </row>
    <row r="30" ht="13.5">
      <c r="A30" t="s">
        <v>343</v>
      </c>
    </row>
    <row r="31" ht="13.5">
      <c r="A31" t="s">
        <v>344</v>
      </c>
    </row>
    <row r="32" ht="13.5">
      <c r="A32" t="s">
        <v>345</v>
      </c>
    </row>
    <row r="33" ht="13.5">
      <c r="A33" t="s">
        <v>346</v>
      </c>
    </row>
    <row r="34" ht="13.5">
      <c r="A34" t="s">
        <v>347</v>
      </c>
    </row>
    <row r="35" ht="13.5">
      <c r="A35" t="s">
        <v>348</v>
      </c>
    </row>
    <row r="36" ht="13.5">
      <c r="A36" t="s">
        <v>349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="55" zoomScaleNormal="55" zoomScaleSheetLayoutView="40" workbookViewId="0" topLeftCell="A7">
      <selection activeCell="AK18" sqref="AK18"/>
    </sheetView>
  </sheetViews>
  <sheetFormatPr defaultColWidth="9.7109375" defaultRowHeight="15"/>
  <cols>
    <col min="1" max="1" width="13.8515625" style="11" customWidth="1"/>
    <col min="2" max="2" width="11.57421875" style="3" customWidth="1"/>
    <col min="3" max="3" width="11.57421875" style="11" customWidth="1"/>
    <col min="4" max="4" width="13.57421875" style="3" customWidth="1"/>
    <col min="5" max="5" width="12.28125" style="11" customWidth="1"/>
    <col min="6" max="6" width="11.8515625" style="9" customWidth="1"/>
    <col min="7" max="7" width="11.8515625" style="13" customWidth="1"/>
    <col min="8" max="8" width="12.7109375" style="14" customWidth="1"/>
    <col min="9" max="9" width="11.421875" style="14" customWidth="1"/>
    <col min="10" max="10" width="14.28125" style="15" customWidth="1"/>
    <col min="11" max="12" width="13.8515625" style="16" customWidth="1"/>
    <col min="13" max="13" width="15.7109375" style="11" customWidth="1"/>
    <col min="14" max="14" width="6.140625" style="11" customWidth="1"/>
    <col min="15" max="15" width="13.8515625" style="11" hidden="1" customWidth="1"/>
    <col min="16" max="16" width="23.421875" style="639" hidden="1" customWidth="1"/>
    <col min="17" max="17" width="13.421875" style="639" hidden="1" customWidth="1"/>
    <col min="18" max="18" width="13.57421875" style="640" hidden="1" customWidth="1"/>
    <col min="19" max="19" width="17.28125" style="640" hidden="1" customWidth="1"/>
    <col min="20" max="20" width="15.00390625" style="640" hidden="1" customWidth="1"/>
    <col min="21" max="21" width="14.421875" style="640" hidden="1" customWidth="1"/>
    <col min="22" max="22" width="17.28125" style="640" hidden="1" customWidth="1"/>
    <col min="23" max="23" width="33.57421875" style="641" hidden="1" customWidth="1"/>
    <col min="24" max="24" width="11.57421875" style="11" hidden="1" customWidth="1"/>
    <col min="25" max="25" width="10.7109375" style="20" hidden="1" customWidth="1"/>
    <col min="26" max="26" width="9.7109375" style="20" hidden="1" customWidth="1"/>
    <col min="27" max="35" width="9.7109375" style="11" hidden="1" customWidth="1"/>
    <col min="36" max="201" width="9.7109375" style="11" customWidth="1"/>
    <col min="202" max="232" width="10.00390625" style="11" bestFit="1" customWidth="1"/>
    <col min="233" max="16384" width="9.7109375" style="11" customWidth="1"/>
  </cols>
  <sheetData>
    <row r="1" spans="1:26" s="3" customFormat="1" ht="33.75" customHeight="1">
      <c r="A1" s="749" t="s">
        <v>0</v>
      </c>
      <c r="C1" s="11"/>
      <c r="E1" s="11"/>
      <c r="F1" s="9"/>
      <c r="G1" s="13"/>
      <c r="H1" s="14"/>
      <c r="I1" s="14"/>
      <c r="J1" s="15"/>
      <c r="K1" s="16"/>
      <c r="L1" s="16"/>
      <c r="P1" s="703"/>
      <c r="Q1" s="703"/>
      <c r="R1" s="722"/>
      <c r="S1" s="722"/>
      <c r="T1" s="722"/>
      <c r="U1" s="722"/>
      <c r="V1" s="722"/>
      <c r="W1" s="740"/>
      <c r="Y1" s="205"/>
      <c r="Z1" s="205"/>
    </row>
    <row r="2" spans="1:26" s="4" customFormat="1" ht="105" customHeight="1">
      <c r="A2" s="750" t="s">
        <v>39</v>
      </c>
      <c r="B2" s="751"/>
      <c r="C2" s="751"/>
      <c r="D2" s="751"/>
      <c r="E2" s="751"/>
      <c r="F2" s="643"/>
      <c r="G2" s="784"/>
      <c r="H2" s="751"/>
      <c r="I2" s="751"/>
      <c r="J2" s="784"/>
      <c r="K2" s="808"/>
      <c r="L2" s="808"/>
      <c r="M2" s="808"/>
      <c r="P2" s="704"/>
      <c r="Q2" s="704"/>
      <c r="R2" s="723" t="s">
        <v>40</v>
      </c>
      <c r="S2" s="724"/>
      <c r="T2" s="724"/>
      <c r="U2" s="724"/>
      <c r="V2" s="724"/>
      <c r="W2" s="741"/>
      <c r="Y2" s="206"/>
      <c r="Z2" s="206"/>
    </row>
    <row r="3" spans="1:26" s="4" customFormat="1" ht="51.75" customHeight="1">
      <c r="A3" s="706" t="s">
        <v>41</v>
      </c>
      <c r="B3" s="752" t="s">
        <v>42</v>
      </c>
      <c r="C3" s="753"/>
      <c r="D3" s="753"/>
      <c r="E3" s="753"/>
      <c r="F3" s="645"/>
      <c r="G3" s="753"/>
      <c r="H3" s="753"/>
      <c r="I3" s="753"/>
      <c r="J3" s="809"/>
      <c r="K3" s="689" t="s">
        <v>43</v>
      </c>
      <c r="L3" s="690"/>
      <c r="M3" s="705"/>
      <c r="O3" s="706" t="s">
        <v>41</v>
      </c>
      <c r="P3" s="707" t="s">
        <v>44</v>
      </c>
      <c r="Q3" s="707" t="s">
        <v>45</v>
      </c>
      <c r="R3" s="725" t="s">
        <v>44</v>
      </c>
      <c r="S3" s="725" t="s">
        <v>45</v>
      </c>
      <c r="T3" s="726" t="s">
        <v>46</v>
      </c>
      <c r="U3" s="725" t="s">
        <v>47</v>
      </c>
      <c r="V3" s="726" t="s">
        <v>48</v>
      </c>
      <c r="W3" s="165" t="s">
        <v>49</v>
      </c>
      <c r="Y3" s="206"/>
      <c r="Z3" s="206"/>
    </row>
    <row r="4" spans="1:26" s="4" customFormat="1" ht="99" customHeight="1">
      <c r="A4" s="708"/>
      <c r="B4" s="754" t="s">
        <v>50</v>
      </c>
      <c r="C4" s="755" t="s">
        <v>51</v>
      </c>
      <c r="D4" s="756" t="s">
        <v>52</v>
      </c>
      <c r="E4" s="785" t="s">
        <v>53</v>
      </c>
      <c r="F4" s="666"/>
      <c r="G4" s="786"/>
      <c r="H4" s="785" t="s">
        <v>54</v>
      </c>
      <c r="I4" s="810"/>
      <c r="J4" s="786"/>
      <c r="K4" s="754" t="s">
        <v>55</v>
      </c>
      <c r="L4" s="755"/>
      <c r="M4" s="756"/>
      <c r="O4" s="708"/>
      <c r="P4" s="707"/>
      <c r="Q4" s="707"/>
      <c r="R4" s="725"/>
      <c r="S4" s="725"/>
      <c r="T4" s="727"/>
      <c r="U4" s="725"/>
      <c r="V4" s="727"/>
      <c r="W4" s="165"/>
      <c r="Y4" s="206"/>
      <c r="Z4" s="206"/>
    </row>
    <row r="5" spans="1:26" s="5" customFormat="1" ht="22.5" customHeight="1">
      <c r="A5" s="710"/>
      <c r="B5" s="757"/>
      <c r="C5" s="758"/>
      <c r="D5" s="759"/>
      <c r="E5" s="787" t="s">
        <v>56</v>
      </c>
      <c r="F5" s="669" t="s">
        <v>57</v>
      </c>
      <c r="G5" s="788" t="s">
        <v>58</v>
      </c>
      <c r="H5" s="787" t="s">
        <v>56</v>
      </c>
      <c r="I5" s="811" t="s">
        <v>57</v>
      </c>
      <c r="J5" s="788" t="s">
        <v>58</v>
      </c>
      <c r="K5" s="812" t="s">
        <v>59</v>
      </c>
      <c r="L5" s="813" t="s">
        <v>57</v>
      </c>
      <c r="M5" s="829" t="s">
        <v>58</v>
      </c>
      <c r="O5" s="710"/>
      <c r="P5" s="707"/>
      <c r="Q5" s="707"/>
      <c r="R5" s="725"/>
      <c r="S5" s="725"/>
      <c r="T5" s="727"/>
      <c r="U5" s="725"/>
      <c r="V5" s="727"/>
      <c r="W5" s="165"/>
      <c r="Y5" s="207"/>
      <c r="Z5" s="207"/>
    </row>
    <row r="6" spans="1:26" s="5" customFormat="1" ht="33.75" customHeight="1">
      <c r="A6" s="710"/>
      <c r="B6" s="757"/>
      <c r="C6" s="758"/>
      <c r="D6" s="759"/>
      <c r="E6" s="787"/>
      <c r="F6" s="669"/>
      <c r="G6" s="788"/>
      <c r="H6" s="787"/>
      <c r="I6" s="811"/>
      <c r="J6" s="788"/>
      <c r="K6" s="812"/>
      <c r="L6" s="813"/>
      <c r="M6" s="829"/>
      <c r="O6" s="710"/>
      <c r="P6" s="707"/>
      <c r="Q6" s="707"/>
      <c r="R6" s="725"/>
      <c r="S6" s="725"/>
      <c r="T6" s="728"/>
      <c r="U6" s="725"/>
      <c r="V6" s="728"/>
      <c r="W6" s="165"/>
      <c r="Y6" s="207"/>
      <c r="Z6" s="207"/>
    </row>
    <row r="7" spans="1:26" s="5" customFormat="1" ht="48.75" customHeight="1">
      <c r="A7" s="711" t="s">
        <v>15</v>
      </c>
      <c r="B7" s="760" t="s">
        <v>60</v>
      </c>
      <c r="C7" s="761" t="s">
        <v>61</v>
      </c>
      <c r="D7" s="762" t="s">
        <v>16</v>
      </c>
      <c r="E7" s="760">
        <v>4</v>
      </c>
      <c r="F7" s="398">
        <v>5</v>
      </c>
      <c r="G7" s="671" t="s">
        <v>17</v>
      </c>
      <c r="H7" s="760">
        <v>7</v>
      </c>
      <c r="I7" s="761">
        <v>8</v>
      </c>
      <c r="J7" s="767" t="s">
        <v>18</v>
      </c>
      <c r="K7" s="760">
        <v>10</v>
      </c>
      <c r="L7" s="761">
        <v>11</v>
      </c>
      <c r="M7" s="762" t="s">
        <v>62</v>
      </c>
      <c r="O7" s="711" t="s">
        <v>15</v>
      </c>
      <c r="P7" s="707" t="s">
        <v>63</v>
      </c>
      <c r="Q7" s="707" t="s">
        <v>63</v>
      </c>
      <c r="R7" s="725"/>
      <c r="S7" s="725"/>
      <c r="T7" s="725"/>
      <c r="U7" s="725"/>
      <c r="V7" s="725"/>
      <c r="W7" s="165"/>
      <c r="Y7" s="207"/>
      <c r="Z7" s="207"/>
    </row>
    <row r="8" spans="1:26" s="5" customFormat="1" ht="49.5" customHeight="1">
      <c r="A8" s="712" t="s">
        <v>64</v>
      </c>
      <c r="B8" s="763">
        <v>120000</v>
      </c>
      <c r="C8" s="764">
        <f>SUM(C10:C25)</f>
        <v>70608</v>
      </c>
      <c r="D8" s="765">
        <f>C8/B8</f>
        <v>0.5884</v>
      </c>
      <c r="E8" s="789">
        <v>120000</v>
      </c>
      <c r="F8" s="85">
        <f>SUM(F10:F25)</f>
        <v>65856</v>
      </c>
      <c r="G8" s="790">
        <f>F8/E8</f>
        <v>0.5488</v>
      </c>
      <c r="H8" s="789" t="s">
        <v>21</v>
      </c>
      <c r="I8" s="814" t="s">
        <v>21</v>
      </c>
      <c r="J8" s="790" t="s">
        <v>21</v>
      </c>
      <c r="K8" s="815" t="s">
        <v>21</v>
      </c>
      <c r="L8" s="816" t="s">
        <v>21</v>
      </c>
      <c r="M8" s="767" t="s">
        <v>21</v>
      </c>
      <c r="O8" s="712" t="s">
        <v>64</v>
      </c>
      <c r="P8" s="707" t="s">
        <v>63</v>
      </c>
      <c r="Q8" s="707" t="s">
        <v>63</v>
      </c>
      <c r="R8" s="725"/>
      <c r="S8" s="725"/>
      <c r="T8" s="725"/>
      <c r="U8" s="725"/>
      <c r="V8" s="725"/>
      <c r="W8" s="165"/>
      <c r="Y8" s="207"/>
      <c r="Z8" s="207"/>
    </row>
    <row r="9" spans="1:26" s="5" customFormat="1" ht="49.5" customHeight="1">
      <c r="A9" s="712" t="s">
        <v>65</v>
      </c>
      <c r="B9" s="766">
        <f>SUM(B10:B25)</f>
        <v>153742</v>
      </c>
      <c r="C9" s="764">
        <f>SUM(C10:C25)</f>
        <v>70608</v>
      </c>
      <c r="D9" s="767">
        <f>C9/B9</f>
        <v>0.4592629209975153</v>
      </c>
      <c r="E9" s="766">
        <f>SUM(E10:E23)</f>
        <v>123613</v>
      </c>
      <c r="F9" s="47">
        <f>SUM(F10:F25)</f>
        <v>65856</v>
      </c>
      <c r="G9" s="790">
        <f>F9/E9</f>
        <v>0.5327594994054023</v>
      </c>
      <c r="H9" s="789">
        <f>SUM(H10:H25)</f>
        <v>24756</v>
      </c>
      <c r="I9" s="814">
        <f>SUM(I10:I25)</f>
        <v>4752</v>
      </c>
      <c r="J9" s="790">
        <f>I9/H9</f>
        <v>0.1919534658264663</v>
      </c>
      <c r="K9" s="766">
        <f>SUM(K10:K25)</f>
        <v>99690</v>
      </c>
      <c r="L9" s="764">
        <f>SUM(L10:L25)</f>
        <v>1219</v>
      </c>
      <c r="M9" s="767">
        <f>L9/K9</f>
        <v>0.012227906510181562</v>
      </c>
      <c r="O9" s="712" t="s">
        <v>65</v>
      </c>
      <c r="P9" s="713">
        <f>SUM(P10:P23)</f>
        <v>22622</v>
      </c>
      <c r="Q9" s="713">
        <f>SUM(Q10:Q23)</f>
        <v>23803</v>
      </c>
      <c r="R9" s="725"/>
      <c r="S9" s="725"/>
      <c r="T9" s="725"/>
      <c r="U9" s="725"/>
      <c r="V9" s="725"/>
      <c r="W9" s="165">
        <f>SUM(W10:W23)</f>
        <v>23572</v>
      </c>
      <c r="Y9" s="207"/>
      <c r="Z9" s="207"/>
    </row>
    <row r="10" spans="1:31" s="638" customFormat="1" ht="45.75" customHeight="1">
      <c r="A10" s="712" t="s">
        <v>22</v>
      </c>
      <c r="B10" s="766">
        <f>E10+H10</f>
        <v>9050</v>
      </c>
      <c r="C10" s="764">
        <f>F10+I10</f>
        <v>4708</v>
      </c>
      <c r="D10" s="765">
        <f aca="true" t="shared" si="0" ref="D10:D25">C10/B10</f>
        <v>0.5202209944751381</v>
      </c>
      <c r="E10" s="791">
        <v>7051</v>
      </c>
      <c r="F10" s="89">
        <v>4078</v>
      </c>
      <c r="G10" s="790">
        <f>F10/E10</f>
        <v>0.5783576797617359</v>
      </c>
      <c r="H10" s="792">
        <v>1999</v>
      </c>
      <c r="I10" s="817">
        <v>630</v>
      </c>
      <c r="J10" s="790">
        <f aca="true" t="shared" si="1" ref="J10:J23">I10/H10</f>
        <v>0.3151575787893947</v>
      </c>
      <c r="K10" s="791">
        <v>8773</v>
      </c>
      <c r="L10" s="818">
        <v>0</v>
      </c>
      <c r="M10" s="767">
        <f aca="true" t="shared" si="2" ref="M10:M23">L10/K10</f>
        <v>0</v>
      </c>
      <c r="O10" s="712" t="s">
        <v>22</v>
      </c>
      <c r="P10" s="707">
        <v>1553</v>
      </c>
      <c r="Q10" s="729">
        <v>2525</v>
      </c>
      <c r="R10" s="725">
        <v>1417</v>
      </c>
      <c r="S10" s="725">
        <v>2525</v>
      </c>
      <c r="T10" s="725">
        <v>0</v>
      </c>
      <c r="U10" s="725">
        <v>0</v>
      </c>
      <c r="V10" s="725">
        <v>630</v>
      </c>
      <c r="W10" s="165">
        <v>2525</v>
      </c>
      <c r="Y10" s="224"/>
      <c r="Z10" s="745" t="s">
        <v>66</v>
      </c>
      <c r="AA10" s="746">
        <v>2183</v>
      </c>
      <c r="AB10" s="747" t="s">
        <v>66</v>
      </c>
      <c r="AC10" s="746">
        <v>2525</v>
      </c>
      <c r="AE10" s="638">
        <f>AA10+AC10-C10</f>
        <v>0</v>
      </c>
    </row>
    <row r="11" spans="1:31" s="6" customFormat="1" ht="45.75" customHeight="1">
      <c r="A11" s="150" t="s">
        <v>23</v>
      </c>
      <c r="B11" s="766">
        <f>E11</f>
        <v>11061</v>
      </c>
      <c r="C11" s="764">
        <f>F11</f>
        <v>5646</v>
      </c>
      <c r="D11" s="120">
        <f t="shared" si="0"/>
        <v>0.510442093843233</v>
      </c>
      <c r="E11" s="125">
        <v>11061</v>
      </c>
      <c r="F11" s="89">
        <v>5646</v>
      </c>
      <c r="G11" s="790">
        <f>F11/E11</f>
        <v>0.510442093843233</v>
      </c>
      <c r="H11" s="793" t="s">
        <v>21</v>
      </c>
      <c r="I11" s="819" t="s">
        <v>21</v>
      </c>
      <c r="J11" s="790" t="s">
        <v>21</v>
      </c>
      <c r="K11" s="125">
        <v>11020</v>
      </c>
      <c r="L11" s="151">
        <v>0</v>
      </c>
      <c r="M11" s="149">
        <f t="shared" si="2"/>
        <v>0</v>
      </c>
      <c r="O11" s="150" t="s">
        <v>23</v>
      </c>
      <c r="P11" s="707">
        <v>3359</v>
      </c>
      <c r="Q11" s="729">
        <v>2252</v>
      </c>
      <c r="R11" s="725">
        <v>1989</v>
      </c>
      <c r="S11" s="725">
        <v>0</v>
      </c>
      <c r="T11" s="725" t="s">
        <v>21</v>
      </c>
      <c r="U11" s="725">
        <v>500</v>
      </c>
      <c r="V11" s="725" t="s">
        <v>21</v>
      </c>
      <c r="W11" s="165">
        <v>2252</v>
      </c>
      <c r="X11" s="213"/>
      <c r="Y11" s="224"/>
      <c r="Z11" s="747" t="s">
        <v>67</v>
      </c>
      <c r="AA11" s="746">
        <v>3359</v>
      </c>
      <c r="AB11" s="747" t="s">
        <v>67</v>
      </c>
      <c r="AC11" s="746">
        <v>2252</v>
      </c>
      <c r="AE11" s="638">
        <f aca="true" t="shared" si="3" ref="AE11:AE18">AA11+AC11-C11</f>
        <v>-35</v>
      </c>
    </row>
    <row r="12" spans="1:31" s="638" customFormat="1" ht="45.75" customHeight="1">
      <c r="A12" s="768" t="s">
        <v>24</v>
      </c>
      <c r="B12" s="769">
        <f>E12</f>
        <v>5984</v>
      </c>
      <c r="C12" s="770">
        <f>F12</f>
        <v>4622</v>
      </c>
      <c r="D12" s="771">
        <f t="shared" si="0"/>
        <v>0.7723930481283422</v>
      </c>
      <c r="E12" s="794">
        <v>5984</v>
      </c>
      <c r="F12" s="795">
        <f>P12+Q12+310</f>
        <v>4622</v>
      </c>
      <c r="G12" s="796">
        <f>F12/E12</f>
        <v>0.7723930481283422</v>
      </c>
      <c r="H12" s="793" t="s">
        <v>21</v>
      </c>
      <c r="I12" s="819" t="s">
        <v>21</v>
      </c>
      <c r="J12" s="790" t="s">
        <v>21</v>
      </c>
      <c r="K12" s="791">
        <v>4850</v>
      </c>
      <c r="L12" s="151">
        <v>0</v>
      </c>
      <c r="M12" s="767">
        <f t="shared" si="2"/>
        <v>0</v>
      </c>
      <c r="O12" s="712" t="s">
        <v>24</v>
      </c>
      <c r="P12" s="707">
        <v>1943</v>
      </c>
      <c r="Q12" s="729">
        <v>2369</v>
      </c>
      <c r="R12" s="725">
        <v>96</v>
      </c>
      <c r="S12" s="725">
        <v>0</v>
      </c>
      <c r="T12" s="725" t="s">
        <v>21</v>
      </c>
      <c r="U12" s="725">
        <v>0</v>
      </c>
      <c r="V12" s="725" t="s">
        <v>21</v>
      </c>
      <c r="W12" s="165">
        <v>2369</v>
      </c>
      <c r="Y12" s="224"/>
      <c r="Z12" s="747" t="s">
        <v>68</v>
      </c>
      <c r="AA12" s="746">
        <v>1943</v>
      </c>
      <c r="AB12" s="747" t="s">
        <v>68</v>
      </c>
      <c r="AC12" s="746">
        <v>2369</v>
      </c>
      <c r="AE12" s="638">
        <f t="shared" si="3"/>
        <v>-310</v>
      </c>
    </row>
    <row r="13" spans="1:31" s="6" customFormat="1" ht="45.75" customHeight="1">
      <c r="A13" s="150" t="s">
        <v>25</v>
      </c>
      <c r="B13" s="766">
        <f>E13+H13</f>
        <v>4099</v>
      </c>
      <c r="C13" s="764">
        <f aca="true" t="shared" si="4" ref="C13:C23">F13+I13</f>
        <v>1096</v>
      </c>
      <c r="D13" s="120">
        <f t="shared" si="0"/>
        <v>0.26738228836301536</v>
      </c>
      <c r="E13" s="125">
        <v>3766</v>
      </c>
      <c r="F13" s="89">
        <f aca="true" t="shared" si="5" ref="F13:F21">P13+Q13</f>
        <v>1081</v>
      </c>
      <c r="G13" s="790">
        <f aca="true" t="shared" si="6" ref="G13:G24">F13/E13</f>
        <v>0.2870419543281997</v>
      </c>
      <c r="H13" s="672">
        <v>333</v>
      </c>
      <c r="I13" s="124">
        <v>15</v>
      </c>
      <c r="J13" s="790">
        <f t="shared" si="1"/>
        <v>0.04504504504504504</v>
      </c>
      <c r="K13" s="125">
        <v>8402</v>
      </c>
      <c r="L13" s="151">
        <v>55</v>
      </c>
      <c r="M13" s="149">
        <f t="shared" si="2"/>
        <v>0.006546060461794811</v>
      </c>
      <c r="O13" s="150" t="s">
        <v>25</v>
      </c>
      <c r="P13" s="714">
        <v>0</v>
      </c>
      <c r="Q13" s="730">
        <v>1081</v>
      </c>
      <c r="R13" s="725">
        <v>303</v>
      </c>
      <c r="S13" s="731">
        <v>877</v>
      </c>
      <c r="T13" s="732">
        <v>333</v>
      </c>
      <c r="U13" s="725">
        <v>0</v>
      </c>
      <c r="V13" s="725">
        <v>15</v>
      </c>
      <c r="W13" s="165">
        <v>0</v>
      </c>
      <c r="X13" s="742" t="s">
        <v>69</v>
      </c>
      <c r="Y13" s="224"/>
      <c r="Z13" s="747" t="s">
        <v>70</v>
      </c>
      <c r="AA13" s="746">
        <v>15</v>
      </c>
      <c r="AB13" s="747" t="s">
        <v>70</v>
      </c>
      <c r="AC13" s="746">
        <v>877</v>
      </c>
      <c r="AE13" s="638">
        <f t="shared" si="3"/>
        <v>-204</v>
      </c>
    </row>
    <row r="14" spans="1:31" s="6" customFormat="1" ht="45.75" customHeight="1">
      <c r="A14" s="150" t="s">
        <v>26</v>
      </c>
      <c r="B14" s="766">
        <f>E14</f>
        <v>241</v>
      </c>
      <c r="C14" s="764">
        <f>F14</f>
        <v>241</v>
      </c>
      <c r="D14" s="120">
        <f t="shared" si="0"/>
        <v>1</v>
      </c>
      <c r="E14" s="125">
        <v>241</v>
      </c>
      <c r="F14" s="89">
        <f t="shared" si="5"/>
        <v>241</v>
      </c>
      <c r="G14" s="790">
        <f t="shared" si="6"/>
        <v>1</v>
      </c>
      <c r="H14" s="793" t="s">
        <v>21</v>
      </c>
      <c r="I14" s="819" t="s">
        <v>21</v>
      </c>
      <c r="J14" s="790" t="s">
        <v>21</v>
      </c>
      <c r="K14" s="125">
        <v>439</v>
      </c>
      <c r="L14" s="151">
        <v>0</v>
      </c>
      <c r="M14" s="149">
        <f t="shared" si="2"/>
        <v>0</v>
      </c>
      <c r="O14" s="150" t="s">
        <v>26</v>
      </c>
      <c r="P14" s="707">
        <v>0</v>
      </c>
      <c r="Q14" s="729">
        <v>241</v>
      </c>
      <c r="R14" s="725">
        <v>0</v>
      </c>
      <c r="S14" s="725">
        <v>0</v>
      </c>
      <c r="T14" s="725" t="s">
        <v>21</v>
      </c>
      <c r="U14" s="725">
        <v>0</v>
      </c>
      <c r="V14" s="725" t="s">
        <v>21</v>
      </c>
      <c r="W14" s="165">
        <v>241</v>
      </c>
      <c r="Y14" s="224"/>
      <c r="Z14" s="747"/>
      <c r="AA14" s="746"/>
      <c r="AB14" s="747" t="s">
        <v>71</v>
      </c>
      <c r="AC14" s="746">
        <v>241</v>
      </c>
      <c r="AE14" s="638">
        <f t="shared" si="3"/>
        <v>0</v>
      </c>
    </row>
    <row r="15" spans="1:31" s="6" customFormat="1" ht="45.75" customHeight="1">
      <c r="A15" s="768" t="s">
        <v>27</v>
      </c>
      <c r="B15" s="769">
        <f>E15</f>
        <v>1514</v>
      </c>
      <c r="C15" s="770">
        <f>F15</f>
        <v>420</v>
      </c>
      <c r="D15" s="771">
        <f t="shared" si="0"/>
        <v>0.2774108322324967</v>
      </c>
      <c r="E15" s="794">
        <v>1514</v>
      </c>
      <c r="F15" s="795">
        <v>420</v>
      </c>
      <c r="G15" s="796">
        <f t="shared" si="6"/>
        <v>0.2774108322324967</v>
      </c>
      <c r="H15" s="793" t="s">
        <v>21</v>
      </c>
      <c r="I15" s="819" t="s">
        <v>21</v>
      </c>
      <c r="J15" s="790" t="s">
        <v>21</v>
      </c>
      <c r="K15" s="125">
        <v>1541</v>
      </c>
      <c r="L15" s="151">
        <v>0</v>
      </c>
      <c r="M15" s="149">
        <f t="shared" si="2"/>
        <v>0</v>
      </c>
      <c r="O15" s="150" t="s">
        <v>27</v>
      </c>
      <c r="P15" s="707">
        <v>60</v>
      </c>
      <c r="Q15" s="729">
        <v>0</v>
      </c>
      <c r="R15" s="725">
        <v>0</v>
      </c>
      <c r="S15" s="725" t="s">
        <v>63</v>
      </c>
      <c r="T15" s="725" t="s">
        <v>21</v>
      </c>
      <c r="U15" s="725">
        <v>0</v>
      </c>
      <c r="V15" s="725" t="s">
        <v>21</v>
      </c>
      <c r="W15" s="165"/>
      <c r="Y15" s="224"/>
      <c r="Z15" s="747" t="s">
        <v>72</v>
      </c>
      <c r="AA15" s="746">
        <v>60</v>
      </c>
      <c r="AB15" s="747"/>
      <c r="AC15" s="746"/>
      <c r="AE15" s="638">
        <f t="shared" si="3"/>
        <v>-360</v>
      </c>
    </row>
    <row r="16" spans="1:31" s="6" customFormat="1" ht="45.75" customHeight="1">
      <c r="A16" s="150" t="s">
        <v>28</v>
      </c>
      <c r="B16" s="766">
        <f>E16+H16</f>
        <v>8700</v>
      </c>
      <c r="C16" s="764">
        <f t="shared" si="4"/>
        <v>601</v>
      </c>
      <c r="D16" s="120">
        <f t="shared" si="0"/>
        <v>0.06908045977011494</v>
      </c>
      <c r="E16" s="125">
        <v>6791</v>
      </c>
      <c r="F16" s="89">
        <f t="shared" si="5"/>
        <v>601</v>
      </c>
      <c r="G16" s="86">
        <f t="shared" si="6"/>
        <v>0.08849948461198645</v>
      </c>
      <c r="H16" s="672">
        <v>1909</v>
      </c>
      <c r="I16" s="124">
        <v>0</v>
      </c>
      <c r="J16" s="86">
        <f t="shared" si="1"/>
        <v>0</v>
      </c>
      <c r="K16" s="125">
        <v>3141</v>
      </c>
      <c r="L16" s="151">
        <v>0</v>
      </c>
      <c r="M16" s="149">
        <f t="shared" si="2"/>
        <v>0</v>
      </c>
      <c r="O16" s="150" t="s">
        <v>28</v>
      </c>
      <c r="P16" s="165">
        <v>316</v>
      </c>
      <c r="Q16" s="730">
        <v>285</v>
      </c>
      <c r="R16" s="165">
        <v>228</v>
      </c>
      <c r="S16" s="165">
        <v>8</v>
      </c>
      <c r="T16" s="165">
        <v>0</v>
      </c>
      <c r="U16" s="165">
        <v>0</v>
      </c>
      <c r="V16" s="165">
        <v>0</v>
      </c>
      <c r="W16" s="165">
        <v>188</v>
      </c>
      <c r="Y16" s="224"/>
      <c r="Z16" s="747" t="s">
        <v>73</v>
      </c>
      <c r="AA16" s="746">
        <v>316</v>
      </c>
      <c r="AB16" s="747" t="s">
        <v>73</v>
      </c>
      <c r="AC16" s="746">
        <v>285</v>
      </c>
      <c r="AE16" s="638">
        <f t="shared" si="3"/>
        <v>0</v>
      </c>
    </row>
    <row r="17" spans="1:36" s="7" customFormat="1" ht="45.75" customHeight="1">
      <c r="A17" s="150" t="s">
        <v>29</v>
      </c>
      <c r="B17" s="766">
        <f>E17</f>
        <v>2848</v>
      </c>
      <c r="C17" s="764">
        <f>F17</f>
        <v>2295</v>
      </c>
      <c r="D17" s="120">
        <f t="shared" si="0"/>
        <v>0.8058286516853933</v>
      </c>
      <c r="E17" s="125">
        <v>2848</v>
      </c>
      <c r="F17" s="89">
        <f>P17+Q17+103</f>
        <v>2295</v>
      </c>
      <c r="G17" s="790">
        <f t="shared" si="6"/>
        <v>0.8058286516853933</v>
      </c>
      <c r="H17" s="793" t="s">
        <v>21</v>
      </c>
      <c r="I17" s="819" t="s">
        <v>21</v>
      </c>
      <c r="J17" s="790" t="s">
        <v>21</v>
      </c>
      <c r="K17" s="125">
        <v>4952</v>
      </c>
      <c r="L17" s="151">
        <v>0</v>
      </c>
      <c r="M17" s="149">
        <f t="shared" si="2"/>
        <v>0</v>
      </c>
      <c r="N17" s="6"/>
      <c r="O17" s="150" t="s">
        <v>29</v>
      </c>
      <c r="P17" s="715">
        <v>0</v>
      </c>
      <c r="Q17" s="729">
        <v>2192</v>
      </c>
      <c r="R17" s="733">
        <v>0</v>
      </c>
      <c r="S17" s="733">
        <v>2192</v>
      </c>
      <c r="T17" s="725" t="s">
        <v>21</v>
      </c>
      <c r="U17" s="733">
        <v>0</v>
      </c>
      <c r="V17" s="733" t="s">
        <v>21</v>
      </c>
      <c r="W17" s="167">
        <v>2152</v>
      </c>
      <c r="X17" s="213"/>
      <c r="Y17" s="224"/>
      <c r="Z17" s="747" t="s">
        <v>74</v>
      </c>
      <c r="AA17" s="746">
        <v>0</v>
      </c>
      <c r="AB17" s="747" t="s">
        <v>74</v>
      </c>
      <c r="AC17" s="746">
        <v>2192</v>
      </c>
      <c r="AE17" s="638">
        <f t="shared" si="3"/>
        <v>-103</v>
      </c>
      <c r="AJ17" s="831" t="s">
        <v>75</v>
      </c>
    </row>
    <row r="18" spans="1:31" s="6" customFormat="1" ht="45.75" customHeight="1">
      <c r="A18" s="150" t="s">
        <v>30</v>
      </c>
      <c r="B18" s="766">
        <f>E18</f>
        <v>6178</v>
      </c>
      <c r="C18" s="764">
        <f>F18</f>
        <v>670</v>
      </c>
      <c r="D18" s="120">
        <f t="shared" si="0"/>
        <v>0.10844933635480739</v>
      </c>
      <c r="E18" s="125">
        <v>6178</v>
      </c>
      <c r="F18" s="89">
        <f t="shared" si="5"/>
        <v>670</v>
      </c>
      <c r="G18" s="86">
        <f t="shared" si="6"/>
        <v>0.10844933635480739</v>
      </c>
      <c r="H18" s="673" t="s">
        <v>21</v>
      </c>
      <c r="I18" s="693" t="s">
        <v>21</v>
      </c>
      <c r="J18" s="86" t="s">
        <v>21</v>
      </c>
      <c r="K18" s="125">
        <v>2401</v>
      </c>
      <c r="L18" s="151">
        <v>0</v>
      </c>
      <c r="M18" s="149">
        <f t="shared" si="2"/>
        <v>0</v>
      </c>
      <c r="O18" s="150" t="s">
        <v>30</v>
      </c>
      <c r="P18" s="165">
        <v>0</v>
      </c>
      <c r="Q18" s="734">
        <v>670</v>
      </c>
      <c r="R18" s="171" t="s">
        <v>76</v>
      </c>
      <c r="S18" s="169">
        <v>0</v>
      </c>
      <c r="T18" s="169" t="s">
        <v>21</v>
      </c>
      <c r="U18" s="171" t="s">
        <v>76</v>
      </c>
      <c r="V18" s="171" t="s">
        <v>21</v>
      </c>
      <c r="W18" s="169">
        <v>670</v>
      </c>
      <c r="Y18" s="748"/>
      <c r="Z18" s="747"/>
      <c r="AA18" s="746"/>
      <c r="AB18" s="747" t="s">
        <v>77</v>
      </c>
      <c r="AC18" s="746">
        <v>670</v>
      </c>
      <c r="AE18" s="638">
        <f t="shared" si="3"/>
        <v>0</v>
      </c>
    </row>
    <row r="19" spans="1:31" s="6" customFormat="1" ht="45.75" customHeight="1">
      <c r="A19" s="768" t="s">
        <v>31</v>
      </c>
      <c r="B19" s="769">
        <f>E19+H19</f>
        <v>53472</v>
      </c>
      <c r="C19" s="770">
        <f t="shared" si="4"/>
        <v>17453</v>
      </c>
      <c r="D19" s="771">
        <f t="shared" si="0"/>
        <v>0.3263951226810293</v>
      </c>
      <c r="E19" s="794">
        <v>44714</v>
      </c>
      <c r="F19" s="795">
        <v>17453</v>
      </c>
      <c r="G19" s="796">
        <f t="shared" si="6"/>
        <v>0.39032517779666326</v>
      </c>
      <c r="H19" s="672">
        <v>8758</v>
      </c>
      <c r="I19" s="124">
        <f>T19</f>
        <v>0</v>
      </c>
      <c r="J19" s="86">
        <f t="shared" si="1"/>
        <v>0</v>
      </c>
      <c r="K19" s="125">
        <v>23036</v>
      </c>
      <c r="L19" s="151">
        <v>110</v>
      </c>
      <c r="M19" s="149">
        <f t="shared" si="2"/>
        <v>0.004775134571974301</v>
      </c>
      <c r="O19" s="150" t="s">
        <v>31</v>
      </c>
      <c r="P19" s="714">
        <v>6875</v>
      </c>
      <c r="Q19" s="735">
        <v>3307</v>
      </c>
      <c r="R19" s="731"/>
      <c r="S19" s="731">
        <v>492</v>
      </c>
      <c r="T19" s="731">
        <v>0</v>
      </c>
      <c r="U19" s="731">
        <v>0</v>
      </c>
      <c r="V19" s="731"/>
      <c r="W19" s="165">
        <f>14481-6827</f>
        <v>7654</v>
      </c>
      <c r="X19" s="743" t="s">
        <v>78</v>
      </c>
      <c r="Y19" s="210"/>
      <c r="Z19" s="747" t="s">
        <v>79</v>
      </c>
      <c r="AA19" s="746">
        <v>5540</v>
      </c>
      <c r="AB19" s="747" t="s">
        <v>79</v>
      </c>
      <c r="AC19" s="746">
        <v>3045</v>
      </c>
      <c r="AE19" s="638">
        <f>AC19+AA19-C20</f>
        <v>0</v>
      </c>
    </row>
    <row r="20" spans="1:31" s="6" customFormat="1" ht="45.75" customHeight="1">
      <c r="A20" s="150" t="s">
        <v>32</v>
      </c>
      <c r="B20" s="766">
        <f>E20+H20</f>
        <v>16740</v>
      </c>
      <c r="C20" s="764">
        <f t="shared" si="4"/>
        <v>8585</v>
      </c>
      <c r="D20" s="120">
        <f t="shared" si="0"/>
        <v>0.5128434886499402</v>
      </c>
      <c r="E20" s="125">
        <v>12303</v>
      </c>
      <c r="F20" s="89">
        <f t="shared" si="5"/>
        <v>7590</v>
      </c>
      <c r="G20" s="86">
        <f t="shared" si="6"/>
        <v>0.6169227017800536</v>
      </c>
      <c r="H20" s="672">
        <v>4437</v>
      </c>
      <c r="I20" s="124">
        <v>995</v>
      </c>
      <c r="J20" s="86">
        <f t="shared" si="1"/>
        <v>0.22425061978814514</v>
      </c>
      <c r="K20" s="125">
        <v>15124</v>
      </c>
      <c r="L20" s="151">
        <v>1054</v>
      </c>
      <c r="M20" s="149">
        <f t="shared" si="2"/>
        <v>0.06969055805342501</v>
      </c>
      <c r="O20" s="150" t="s">
        <v>32</v>
      </c>
      <c r="P20" s="165">
        <v>4545</v>
      </c>
      <c r="Q20" s="730">
        <v>3045</v>
      </c>
      <c r="R20" s="165">
        <v>3264</v>
      </c>
      <c r="S20" s="165">
        <v>650</v>
      </c>
      <c r="T20" s="165">
        <v>313</v>
      </c>
      <c r="U20" s="165">
        <v>968</v>
      </c>
      <c r="V20" s="165">
        <v>995</v>
      </c>
      <c r="W20" s="165">
        <v>1685</v>
      </c>
      <c r="X20" s="221"/>
      <c r="Y20" s="222"/>
      <c r="Z20" s="747" t="s">
        <v>80</v>
      </c>
      <c r="AA20" s="746">
        <v>110</v>
      </c>
      <c r="AB20" s="747" t="s">
        <v>80</v>
      </c>
      <c r="AC20" s="746">
        <v>609</v>
      </c>
      <c r="AE20" s="638">
        <f>AC20+AA20-C21</f>
        <v>0</v>
      </c>
    </row>
    <row r="21" spans="1:31" s="638" customFormat="1" ht="45.75" customHeight="1">
      <c r="A21" s="712" t="s">
        <v>33</v>
      </c>
      <c r="B21" s="766">
        <f>E21</f>
        <v>3855</v>
      </c>
      <c r="C21" s="764">
        <f>F21</f>
        <v>719</v>
      </c>
      <c r="D21" s="765">
        <f t="shared" si="0"/>
        <v>0.18651102464332037</v>
      </c>
      <c r="E21" s="791">
        <v>3855</v>
      </c>
      <c r="F21" s="89">
        <f t="shared" si="5"/>
        <v>719</v>
      </c>
      <c r="G21" s="790">
        <f t="shared" si="6"/>
        <v>0.18651102464332037</v>
      </c>
      <c r="H21" s="793" t="s">
        <v>21</v>
      </c>
      <c r="I21" s="819" t="s">
        <v>21</v>
      </c>
      <c r="J21" s="790" t="s">
        <v>21</v>
      </c>
      <c r="K21" s="791">
        <v>956</v>
      </c>
      <c r="L21" s="818">
        <v>0</v>
      </c>
      <c r="M21" s="767">
        <f t="shared" si="2"/>
        <v>0</v>
      </c>
      <c r="O21" s="712" t="s">
        <v>33</v>
      </c>
      <c r="P21" s="707">
        <v>110</v>
      </c>
      <c r="Q21" s="736">
        <v>609</v>
      </c>
      <c r="R21" s="728">
        <v>0</v>
      </c>
      <c r="S21" s="728">
        <v>0</v>
      </c>
      <c r="T21" s="728" t="s">
        <v>21</v>
      </c>
      <c r="U21" s="728">
        <v>0</v>
      </c>
      <c r="V21" s="728" t="s">
        <v>21</v>
      </c>
      <c r="W21" s="163">
        <v>609</v>
      </c>
      <c r="Y21" s="224"/>
      <c r="Z21" s="747" t="s">
        <v>81</v>
      </c>
      <c r="AA21" s="746">
        <v>0</v>
      </c>
      <c r="AB21" s="747" t="s">
        <v>81</v>
      </c>
      <c r="AC21" s="746">
        <v>1208</v>
      </c>
      <c r="AE21" s="638">
        <f>AC21+AA21-C22</f>
        <v>-1479</v>
      </c>
    </row>
    <row r="22" spans="1:31" s="638" customFormat="1" ht="45.75" customHeight="1">
      <c r="A22" s="768" t="s">
        <v>34</v>
      </c>
      <c r="B22" s="769">
        <f>E22+H22</f>
        <v>6657</v>
      </c>
      <c r="C22" s="770">
        <f t="shared" si="4"/>
        <v>2687</v>
      </c>
      <c r="D22" s="772">
        <f t="shared" si="0"/>
        <v>0.40363527114315756</v>
      </c>
      <c r="E22" s="794">
        <v>5995</v>
      </c>
      <c r="F22" s="795">
        <v>2687</v>
      </c>
      <c r="G22" s="796">
        <f t="shared" si="6"/>
        <v>0.4482068390325271</v>
      </c>
      <c r="H22" s="792">
        <v>662</v>
      </c>
      <c r="I22" s="817">
        <v>0</v>
      </c>
      <c r="J22" s="790">
        <f t="shared" si="1"/>
        <v>0</v>
      </c>
      <c r="K22" s="791">
        <v>3506</v>
      </c>
      <c r="L22" s="818">
        <v>0</v>
      </c>
      <c r="M22" s="767">
        <f t="shared" si="2"/>
        <v>0</v>
      </c>
      <c r="O22" s="712" t="s">
        <v>34</v>
      </c>
      <c r="P22" s="707">
        <v>0</v>
      </c>
      <c r="Q22" s="729">
        <v>1208</v>
      </c>
      <c r="R22" s="725">
        <v>0</v>
      </c>
      <c r="S22" s="725">
        <v>300</v>
      </c>
      <c r="T22" s="737" t="s">
        <v>76</v>
      </c>
      <c r="U22" s="725">
        <v>0</v>
      </c>
      <c r="V22" s="725" t="s">
        <v>21</v>
      </c>
      <c r="W22" s="165">
        <v>308</v>
      </c>
      <c r="Y22" s="224"/>
      <c r="Z22" s="747" t="s">
        <v>82</v>
      </c>
      <c r="AA22" s="746">
        <v>4261</v>
      </c>
      <c r="AB22" s="747" t="s">
        <v>82</v>
      </c>
      <c r="AC22" s="746">
        <v>4019</v>
      </c>
      <c r="AE22" s="638">
        <f>AC22+AA22-C23</f>
        <v>-4500</v>
      </c>
    </row>
    <row r="23" spans="1:27" s="638" customFormat="1" ht="45.75" customHeight="1">
      <c r="A23" s="773" t="s">
        <v>35</v>
      </c>
      <c r="B23" s="774">
        <f>E23+H23</f>
        <v>15258</v>
      </c>
      <c r="C23" s="775">
        <f t="shared" si="4"/>
        <v>12780</v>
      </c>
      <c r="D23" s="776">
        <f t="shared" si="0"/>
        <v>0.8375933936295714</v>
      </c>
      <c r="E23" s="797">
        <v>11312</v>
      </c>
      <c r="F23" s="798">
        <f>P23+Q23+4500</f>
        <v>12380</v>
      </c>
      <c r="G23" s="799">
        <f t="shared" si="6"/>
        <v>1.0944130127298444</v>
      </c>
      <c r="H23" s="800">
        <v>3946</v>
      </c>
      <c r="I23" s="820">
        <v>400</v>
      </c>
      <c r="J23" s="821">
        <f t="shared" si="1"/>
        <v>0.10136847440446022</v>
      </c>
      <c r="K23" s="822">
        <v>9114</v>
      </c>
      <c r="L23" s="823">
        <v>0</v>
      </c>
      <c r="M23" s="830">
        <f t="shared" si="2"/>
        <v>0</v>
      </c>
      <c r="O23" s="716" t="s">
        <v>35</v>
      </c>
      <c r="P23" s="707">
        <v>3861</v>
      </c>
      <c r="Q23" s="729">
        <v>4019</v>
      </c>
      <c r="R23" s="725">
        <v>2699</v>
      </c>
      <c r="S23" s="725">
        <v>1100</v>
      </c>
      <c r="T23" s="725">
        <v>400</v>
      </c>
      <c r="U23" s="725">
        <v>0</v>
      </c>
      <c r="V23" s="725">
        <v>400</v>
      </c>
      <c r="W23" s="165">
        <v>2919</v>
      </c>
      <c r="Y23" s="224"/>
      <c r="Z23" s="207"/>
      <c r="AA23" s="226"/>
    </row>
    <row r="24" spans="1:27" s="638" customFormat="1" ht="45.75" customHeight="1">
      <c r="A24" s="777" t="s">
        <v>83</v>
      </c>
      <c r="B24" s="778">
        <v>5373</v>
      </c>
      <c r="C24" s="779">
        <v>5373</v>
      </c>
      <c r="D24" s="780">
        <f t="shared" si="0"/>
        <v>1</v>
      </c>
      <c r="E24" s="801">
        <v>5373</v>
      </c>
      <c r="F24" s="802">
        <v>5373</v>
      </c>
      <c r="G24" s="803">
        <f t="shared" si="6"/>
        <v>1</v>
      </c>
      <c r="H24" s="804" t="s">
        <v>21</v>
      </c>
      <c r="I24" s="824" t="s">
        <v>21</v>
      </c>
      <c r="J24" s="825" t="s">
        <v>21</v>
      </c>
      <c r="K24" s="804" t="s">
        <v>21</v>
      </c>
      <c r="L24" s="824" t="s">
        <v>21</v>
      </c>
      <c r="M24" s="825" t="s">
        <v>21</v>
      </c>
      <c r="O24" s="717"/>
      <c r="P24" s="707"/>
      <c r="Q24" s="729"/>
      <c r="R24" s="725"/>
      <c r="S24" s="725"/>
      <c r="T24" s="725"/>
      <c r="U24" s="725"/>
      <c r="V24" s="725"/>
      <c r="W24" s="165"/>
      <c r="Y24" s="224"/>
      <c r="Z24" s="207"/>
      <c r="AA24" s="226"/>
    </row>
    <row r="25" spans="1:29" ht="60" customHeight="1">
      <c r="A25" s="718" t="s">
        <v>84</v>
      </c>
      <c r="B25" s="781">
        <f>H25</f>
        <v>2712</v>
      </c>
      <c r="C25" s="782">
        <f>I25</f>
        <v>2712</v>
      </c>
      <c r="D25" s="783">
        <f t="shared" si="0"/>
        <v>1</v>
      </c>
      <c r="E25" s="805" t="s">
        <v>21</v>
      </c>
      <c r="F25" s="683" t="s">
        <v>21</v>
      </c>
      <c r="G25" s="806" t="s">
        <v>21</v>
      </c>
      <c r="H25" s="807">
        <v>2712</v>
      </c>
      <c r="I25" s="826">
        <v>2712</v>
      </c>
      <c r="J25" s="806">
        <f>I25/H25</f>
        <v>1</v>
      </c>
      <c r="K25" s="827">
        <v>2435</v>
      </c>
      <c r="L25" s="828"/>
      <c r="M25" s="783">
        <f>L25/K25</f>
        <v>0</v>
      </c>
      <c r="O25" s="718" t="s">
        <v>84</v>
      </c>
      <c r="P25" s="719"/>
      <c r="Q25" s="719"/>
      <c r="R25" s="738"/>
      <c r="S25" s="738"/>
      <c r="T25" s="738"/>
      <c r="U25" s="738"/>
      <c r="V25" s="738"/>
      <c r="W25" s="175"/>
      <c r="Y25" s="224"/>
      <c r="Z25" s="207"/>
      <c r="AA25" s="226"/>
      <c r="AB25" s="638"/>
      <c r="AC25" s="638"/>
    </row>
    <row r="26" spans="2:27" ht="25.5">
      <c r="B26" s="64"/>
      <c r="C26" s="104"/>
      <c r="D26" s="64"/>
      <c r="E26" s="104"/>
      <c r="F26" s="105"/>
      <c r="G26" s="106"/>
      <c r="H26" s="686"/>
      <c r="I26" s="686"/>
      <c r="J26" s="701"/>
      <c r="K26" s="107"/>
      <c r="L26" s="107"/>
      <c r="Z26" s="207"/>
      <c r="AA26" s="226"/>
    </row>
    <row r="27" spans="2:27" ht="88.5" customHeight="1">
      <c r="B27" s="64"/>
      <c r="C27" s="104"/>
      <c r="D27" s="64"/>
      <c r="E27" s="104"/>
      <c r="F27" s="105"/>
      <c r="G27" s="106"/>
      <c r="H27" s="686"/>
      <c r="I27" s="686"/>
      <c r="J27" s="701"/>
      <c r="K27" s="702"/>
      <c r="L27" s="702"/>
      <c r="M27" s="720"/>
      <c r="Z27" s="207"/>
      <c r="AA27" s="227"/>
    </row>
    <row r="28" spans="2:27" ht="25.5">
      <c r="B28" s="64"/>
      <c r="C28" s="104"/>
      <c r="D28" s="64"/>
      <c r="E28" s="104"/>
      <c r="F28" s="105"/>
      <c r="G28" s="106"/>
      <c r="H28" s="686"/>
      <c r="I28" s="686"/>
      <c r="J28" s="701"/>
      <c r="K28" s="107"/>
      <c r="L28" s="107"/>
      <c r="Z28" s="207"/>
      <c r="AA28" s="227"/>
    </row>
    <row r="29" spans="1:29" s="10" customFormat="1" ht="25.5">
      <c r="A29" s="11"/>
      <c r="B29" s="64"/>
      <c r="C29" s="104"/>
      <c r="D29" s="64"/>
      <c r="E29" s="104"/>
      <c r="F29" s="105"/>
      <c r="G29" s="106"/>
      <c r="H29" s="133"/>
      <c r="I29" s="133"/>
      <c r="J29" s="134"/>
      <c r="K29" s="107"/>
      <c r="L29" s="107"/>
      <c r="P29" s="721"/>
      <c r="Q29" s="721"/>
      <c r="R29" s="739"/>
      <c r="S29" s="739"/>
      <c r="T29" s="739"/>
      <c r="U29" s="739"/>
      <c r="V29" s="739"/>
      <c r="W29" s="744"/>
      <c r="Y29" s="20"/>
      <c r="Z29" s="207"/>
      <c r="AA29" s="11"/>
      <c r="AB29" s="11"/>
      <c r="AC29" s="11"/>
    </row>
    <row r="30" spans="1:27" s="10" customFormat="1" ht="25.5">
      <c r="A30" s="11"/>
      <c r="B30" s="64"/>
      <c r="C30" s="104"/>
      <c r="D30" s="64"/>
      <c r="E30" s="104"/>
      <c r="F30" s="105"/>
      <c r="G30" s="106"/>
      <c r="H30" s="133"/>
      <c r="I30" s="133"/>
      <c r="J30" s="134"/>
      <c r="K30" s="107"/>
      <c r="L30" s="107"/>
      <c r="P30" s="721"/>
      <c r="Q30" s="721"/>
      <c r="R30" s="739"/>
      <c r="S30" s="739"/>
      <c r="T30" s="739"/>
      <c r="U30" s="739"/>
      <c r="V30" s="739"/>
      <c r="W30" s="744"/>
      <c r="Y30" s="228"/>
      <c r="Z30" s="207"/>
      <c r="AA30" s="11"/>
    </row>
    <row r="31" spans="1:26" s="10" customFormat="1" ht="25.5">
      <c r="A31" s="11"/>
      <c r="B31" s="64"/>
      <c r="C31" s="104"/>
      <c r="D31" s="64"/>
      <c r="E31" s="104"/>
      <c r="F31" s="105"/>
      <c r="G31" s="106"/>
      <c r="H31" s="133"/>
      <c r="I31" s="133"/>
      <c r="J31" s="134"/>
      <c r="K31" s="107"/>
      <c r="L31" s="107"/>
      <c r="P31" s="721"/>
      <c r="Q31" s="721"/>
      <c r="R31" s="739"/>
      <c r="S31" s="739"/>
      <c r="T31" s="739"/>
      <c r="U31" s="739"/>
      <c r="V31" s="739"/>
      <c r="W31" s="744"/>
      <c r="Y31" s="228"/>
      <c r="Z31" s="207"/>
    </row>
    <row r="32" spans="1:26" s="10" customFormat="1" ht="25.5">
      <c r="A32" s="11"/>
      <c r="B32" s="64"/>
      <c r="C32" s="104"/>
      <c r="D32" s="64"/>
      <c r="E32" s="104"/>
      <c r="F32" s="105"/>
      <c r="G32" s="106"/>
      <c r="H32" s="133"/>
      <c r="I32" s="133"/>
      <c r="J32" s="134"/>
      <c r="K32" s="107"/>
      <c r="L32" s="107"/>
      <c r="P32" s="721"/>
      <c r="Q32" s="721"/>
      <c r="R32" s="739"/>
      <c r="S32" s="739"/>
      <c r="T32" s="739"/>
      <c r="U32" s="739"/>
      <c r="V32" s="739"/>
      <c r="W32" s="744"/>
      <c r="Y32" s="228"/>
      <c r="Z32" s="207"/>
    </row>
    <row r="33" spans="1:26" s="10" customFormat="1" ht="25.5">
      <c r="A33" s="11"/>
      <c r="B33" s="64"/>
      <c r="C33" s="104"/>
      <c r="D33" s="64"/>
      <c r="E33" s="104"/>
      <c r="F33" s="105"/>
      <c r="G33" s="106"/>
      <c r="H33" s="133"/>
      <c r="I33" s="133"/>
      <c r="J33" s="134"/>
      <c r="K33" s="107"/>
      <c r="L33" s="107"/>
      <c r="P33" s="721"/>
      <c r="Q33" s="721"/>
      <c r="R33" s="739"/>
      <c r="S33" s="739"/>
      <c r="T33" s="739"/>
      <c r="U33" s="739"/>
      <c r="V33" s="739"/>
      <c r="W33" s="744"/>
      <c r="Y33" s="228"/>
      <c r="Z33" s="228"/>
    </row>
    <row r="34" spans="1:26" s="10" customFormat="1" ht="25.5">
      <c r="A34" s="11"/>
      <c r="B34" s="64"/>
      <c r="C34" s="104"/>
      <c r="D34" s="64"/>
      <c r="E34" s="104"/>
      <c r="F34" s="105"/>
      <c r="G34" s="106"/>
      <c r="H34" s="133"/>
      <c r="I34" s="133"/>
      <c r="J34" s="134"/>
      <c r="K34" s="107"/>
      <c r="L34" s="107"/>
      <c r="P34" s="721"/>
      <c r="Q34" s="721"/>
      <c r="R34" s="739"/>
      <c r="S34" s="739"/>
      <c r="T34" s="739"/>
      <c r="U34" s="739"/>
      <c r="V34" s="739"/>
      <c r="W34" s="744"/>
      <c r="Y34" s="228"/>
      <c r="Z34" s="228"/>
    </row>
    <row r="35" spans="1:26" s="10" customFormat="1" ht="25.5">
      <c r="A35" s="11"/>
      <c r="B35" s="64"/>
      <c r="C35" s="104"/>
      <c r="D35" s="64"/>
      <c r="E35" s="104"/>
      <c r="F35" s="105"/>
      <c r="G35" s="106"/>
      <c r="H35" s="133"/>
      <c r="I35" s="133"/>
      <c r="J35" s="134"/>
      <c r="K35" s="107"/>
      <c r="L35" s="107"/>
      <c r="P35" s="721"/>
      <c r="Q35" s="721"/>
      <c r="R35" s="739"/>
      <c r="S35" s="739"/>
      <c r="T35" s="739"/>
      <c r="U35" s="739"/>
      <c r="V35" s="739"/>
      <c r="W35" s="744"/>
      <c r="Y35" s="228"/>
      <c r="Z35" s="228"/>
    </row>
    <row r="36" spans="1:26" s="10" customFormat="1" ht="25.5">
      <c r="A36" s="11"/>
      <c r="B36" s="3"/>
      <c r="C36" s="11"/>
      <c r="D36" s="3"/>
      <c r="E36" s="11"/>
      <c r="F36" s="9"/>
      <c r="G36" s="13"/>
      <c r="H36" s="135"/>
      <c r="I36" s="135"/>
      <c r="J36" s="136"/>
      <c r="K36" s="16"/>
      <c r="L36" s="16"/>
      <c r="P36" s="721"/>
      <c r="Q36" s="721"/>
      <c r="R36" s="739"/>
      <c r="S36" s="739"/>
      <c r="T36" s="739"/>
      <c r="U36" s="739"/>
      <c r="V36" s="739"/>
      <c r="W36" s="744"/>
      <c r="Y36" s="228"/>
      <c r="Z36" s="228"/>
    </row>
    <row r="37" spans="1:26" s="10" customFormat="1" ht="25.5">
      <c r="A37" s="11"/>
      <c r="B37" s="3"/>
      <c r="C37" s="11"/>
      <c r="D37" s="3"/>
      <c r="E37" s="11"/>
      <c r="F37" s="9"/>
      <c r="G37" s="13"/>
      <c r="H37" s="135"/>
      <c r="I37" s="135"/>
      <c r="J37" s="136"/>
      <c r="K37" s="16"/>
      <c r="L37" s="16"/>
      <c r="P37" s="721"/>
      <c r="Q37" s="721"/>
      <c r="R37" s="739"/>
      <c r="S37" s="739"/>
      <c r="T37" s="739"/>
      <c r="U37" s="739"/>
      <c r="V37" s="739"/>
      <c r="W37" s="744"/>
      <c r="Y37" s="228"/>
      <c r="Z37" s="228"/>
    </row>
    <row r="38" spans="1:26" s="10" customFormat="1" ht="25.5">
      <c r="A38" s="11"/>
      <c r="B38" s="3"/>
      <c r="C38" s="11"/>
      <c r="D38" s="3"/>
      <c r="E38" s="11"/>
      <c r="F38" s="9"/>
      <c r="G38" s="13"/>
      <c r="H38" s="135"/>
      <c r="I38" s="135"/>
      <c r="J38" s="136"/>
      <c r="K38" s="16"/>
      <c r="L38" s="16"/>
      <c r="P38" s="721"/>
      <c r="Q38" s="721"/>
      <c r="R38" s="739"/>
      <c r="S38" s="739"/>
      <c r="T38" s="739"/>
      <c r="U38" s="739"/>
      <c r="V38" s="739"/>
      <c r="W38" s="744"/>
      <c r="Y38" s="228"/>
      <c r="Z38" s="228"/>
    </row>
    <row r="39" spans="1:26" s="10" customFormat="1" ht="25.5">
      <c r="A39" s="11"/>
      <c r="B39" s="3"/>
      <c r="C39" s="11"/>
      <c r="D39" s="3"/>
      <c r="E39" s="11"/>
      <c r="F39" s="9"/>
      <c r="G39" s="13"/>
      <c r="H39" s="135"/>
      <c r="I39" s="135"/>
      <c r="J39" s="136"/>
      <c r="K39" s="16"/>
      <c r="L39" s="16"/>
      <c r="P39" s="721"/>
      <c r="Q39" s="721"/>
      <c r="R39" s="739"/>
      <c r="S39" s="739"/>
      <c r="T39" s="739"/>
      <c r="U39" s="739"/>
      <c r="V39" s="739"/>
      <c r="W39" s="744"/>
      <c r="Y39" s="228"/>
      <c r="Z39" s="228"/>
    </row>
    <row r="40" spans="1:26" s="10" customFormat="1" ht="25.5">
      <c r="A40" s="11"/>
      <c r="B40" s="3"/>
      <c r="C40" s="11"/>
      <c r="D40" s="3"/>
      <c r="E40" s="11"/>
      <c r="F40" s="9"/>
      <c r="G40" s="13"/>
      <c r="H40" s="135"/>
      <c r="I40" s="135"/>
      <c r="J40" s="136"/>
      <c r="K40" s="16"/>
      <c r="L40" s="16"/>
      <c r="P40" s="721"/>
      <c r="Q40" s="721"/>
      <c r="R40" s="739"/>
      <c r="S40" s="739"/>
      <c r="T40" s="739"/>
      <c r="U40" s="739"/>
      <c r="V40" s="739"/>
      <c r="W40" s="744"/>
      <c r="Y40" s="228"/>
      <c r="Z40" s="228"/>
    </row>
    <row r="41" spans="1:26" s="10" customFormat="1" ht="25.5">
      <c r="A41" s="11"/>
      <c r="B41" s="3"/>
      <c r="C41" s="11"/>
      <c r="D41" s="3"/>
      <c r="E41" s="11"/>
      <c r="F41" s="9"/>
      <c r="G41" s="13"/>
      <c r="H41" s="135"/>
      <c r="I41" s="135"/>
      <c r="J41" s="136"/>
      <c r="K41" s="16"/>
      <c r="L41" s="16"/>
      <c r="P41" s="721"/>
      <c r="Q41" s="721"/>
      <c r="R41" s="739"/>
      <c r="S41" s="739"/>
      <c r="T41" s="739"/>
      <c r="U41" s="739"/>
      <c r="V41" s="739"/>
      <c r="W41" s="744"/>
      <c r="Y41" s="228"/>
      <c r="Z41" s="228"/>
    </row>
    <row r="42" spans="1:26" s="10" customFormat="1" ht="25.5">
      <c r="A42" s="11"/>
      <c r="B42" s="3"/>
      <c r="C42" s="11"/>
      <c r="D42" s="3"/>
      <c r="E42" s="11"/>
      <c r="F42" s="9"/>
      <c r="G42" s="13"/>
      <c r="H42" s="135"/>
      <c r="I42" s="135"/>
      <c r="J42" s="136"/>
      <c r="K42" s="16"/>
      <c r="L42" s="16"/>
      <c r="P42" s="721"/>
      <c r="Q42" s="721"/>
      <c r="R42" s="739"/>
      <c r="S42" s="739"/>
      <c r="T42" s="739"/>
      <c r="U42" s="739"/>
      <c r="V42" s="739"/>
      <c r="W42" s="744"/>
      <c r="Y42" s="228"/>
      <c r="Z42" s="228"/>
    </row>
    <row r="43" spans="1:26" s="10" customFormat="1" ht="25.5">
      <c r="A43" s="11"/>
      <c r="B43" s="3"/>
      <c r="C43" s="11"/>
      <c r="D43" s="3"/>
      <c r="E43" s="11"/>
      <c r="F43" s="9"/>
      <c r="G43" s="13"/>
      <c r="H43" s="135"/>
      <c r="I43" s="135"/>
      <c r="J43" s="136"/>
      <c r="K43" s="16"/>
      <c r="L43" s="16"/>
      <c r="P43" s="721"/>
      <c r="Q43" s="721"/>
      <c r="R43" s="739"/>
      <c r="S43" s="739"/>
      <c r="T43" s="739"/>
      <c r="U43" s="739"/>
      <c r="V43" s="739"/>
      <c r="W43" s="744"/>
      <c r="Y43" s="228"/>
      <c r="Z43" s="228"/>
    </row>
    <row r="44" spans="1:26" s="10" customFormat="1" ht="25.5">
      <c r="A44" s="11"/>
      <c r="B44" s="3"/>
      <c r="C44" s="11"/>
      <c r="D44" s="3"/>
      <c r="E44" s="11"/>
      <c r="F44" s="9"/>
      <c r="G44" s="13"/>
      <c r="H44" s="135"/>
      <c r="I44" s="135"/>
      <c r="J44" s="136"/>
      <c r="K44" s="16"/>
      <c r="L44" s="16"/>
      <c r="P44" s="721"/>
      <c r="Q44" s="721"/>
      <c r="R44" s="739"/>
      <c r="S44" s="739"/>
      <c r="T44" s="739"/>
      <c r="U44" s="739"/>
      <c r="V44" s="739"/>
      <c r="W44" s="744"/>
      <c r="Y44" s="228"/>
      <c r="Z44" s="228"/>
    </row>
    <row r="45" spans="1:26" s="10" customFormat="1" ht="25.5">
      <c r="A45" s="11"/>
      <c r="B45" s="3"/>
      <c r="C45" s="11"/>
      <c r="D45" s="3"/>
      <c r="E45" s="11"/>
      <c r="F45" s="9"/>
      <c r="G45" s="13"/>
      <c r="H45" s="135"/>
      <c r="I45" s="135"/>
      <c r="J45" s="136"/>
      <c r="K45" s="16"/>
      <c r="L45" s="16"/>
      <c r="P45" s="721"/>
      <c r="Q45" s="721"/>
      <c r="R45" s="739"/>
      <c r="S45" s="739"/>
      <c r="T45" s="739"/>
      <c r="U45" s="739"/>
      <c r="V45" s="739"/>
      <c r="W45" s="744"/>
      <c r="Y45" s="228"/>
      <c r="Z45" s="228"/>
    </row>
    <row r="46" spans="1:26" s="10" customFormat="1" ht="25.5">
      <c r="A46" s="11"/>
      <c r="B46" s="3"/>
      <c r="C46" s="11"/>
      <c r="D46" s="3"/>
      <c r="E46" s="11"/>
      <c r="F46" s="9"/>
      <c r="G46" s="13"/>
      <c r="H46" s="135"/>
      <c r="I46" s="135"/>
      <c r="J46" s="136"/>
      <c r="K46" s="16"/>
      <c r="L46" s="16"/>
      <c r="P46" s="721"/>
      <c r="Q46" s="721"/>
      <c r="R46" s="739"/>
      <c r="S46" s="739"/>
      <c r="T46" s="739"/>
      <c r="U46" s="739"/>
      <c r="V46" s="739"/>
      <c r="W46" s="744"/>
      <c r="Y46" s="228"/>
      <c r="Z46" s="228"/>
    </row>
    <row r="47" spans="25:29" ht="25.5">
      <c r="Y47" s="228"/>
      <c r="Z47" s="228"/>
      <c r="AA47" s="10"/>
      <c r="AB47" s="10"/>
      <c r="AC47" s="10"/>
    </row>
    <row r="48" spans="26:27" ht="25.5">
      <c r="Z48" s="228"/>
      <c r="AA48" s="10"/>
    </row>
  </sheetData>
  <sheetProtection/>
  <mergeCells count="30">
    <mergeCell ref="A2:M2"/>
    <mergeCell ref="P2:Q2"/>
    <mergeCell ref="R2:U2"/>
    <mergeCell ref="B3:J3"/>
    <mergeCell ref="K3:M3"/>
    <mergeCell ref="E4:G4"/>
    <mergeCell ref="H4:J4"/>
    <mergeCell ref="K4:M4"/>
    <mergeCell ref="A3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3:O6"/>
    <mergeCell ref="P3:P6"/>
    <mergeCell ref="Q3:Q6"/>
    <mergeCell ref="R3:R6"/>
    <mergeCell ref="S3:S6"/>
    <mergeCell ref="T3:T6"/>
    <mergeCell ref="U3:U6"/>
    <mergeCell ref="V3:V6"/>
    <mergeCell ref="W3:W6"/>
  </mergeCells>
  <printOptions/>
  <pageMargins left="0.275" right="0.19652777777777777" top="1.2986111111111112" bottom="0.5506944444444445" header="0.35" footer="0.5118055555555555"/>
  <pageSetup horizontalDpi="600" verticalDpi="600" orientation="portrait" paperSize="9" scale="58"/>
  <ignoredErrors>
    <ignoredError sqref="B13:C13 B16:C16 B21:C21 J9 G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zoomScale="55" zoomScaleNormal="55" zoomScaleSheetLayoutView="40" workbookViewId="0" topLeftCell="A1">
      <selection activeCell="A1" sqref="A1:M25"/>
    </sheetView>
  </sheetViews>
  <sheetFormatPr defaultColWidth="9.7109375" defaultRowHeight="15"/>
  <cols>
    <col min="1" max="1" width="13.8515625" style="11" customWidth="1"/>
    <col min="2" max="2" width="11.57421875" style="3" customWidth="1"/>
    <col min="3" max="3" width="11.57421875" style="11" customWidth="1"/>
    <col min="4" max="4" width="13.57421875" style="3" customWidth="1"/>
    <col min="5" max="5" width="12.28125" style="11" customWidth="1"/>
    <col min="6" max="6" width="11.8515625" style="9" customWidth="1"/>
    <col min="7" max="7" width="11.8515625" style="13" customWidth="1"/>
    <col min="8" max="8" width="12.7109375" style="14" customWidth="1"/>
    <col min="9" max="9" width="11.421875" style="14" customWidth="1"/>
    <col min="10" max="10" width="14.28125" style="15" customWidth="1"/>
    <col min="11" max="12" width="13.8515625" style="16" customWidth="1"/>
    <col min="13" max="13" width="15.7109375" style="11" customWidth="1"/>
    <col min="14" max="14" width="6.140625" style="11" customWidth="1"/>
    <col min="15" max="15" width="13.8515625" style="11" hidden="1" customWidth="1"/>
    <col min="16" max="16" width="23.421875" style="639" hidden="1" customWidth="1"/>
    <col min="17" max="17" width="13.421875" style="639" hidden="1" customWidth="1"/>
    <col min="18" max="18" width="13.57421875" style="640" hidden="1" customWidth="1"/>
    <col min="19" max="19" width="17.28125" style="640" hidden="1" customWidth="1"/>
    <col min="20" max="20" width="15.00390625" style="640" hidden="1" customWidth="1"/>
    <col min="21" max="21" width="14.421875" style="640" hidden="1" customWidth="1"/>
    <col min="22" max="22" width="17.28125" style="640" hidden="1" customWidth="1"/>
    <col min="23" max="23" width="33.57421875" style="641" hidden="1" customWidth="1"/>
    <col min="24" max="24" width="11.57421875" style="11" hidden="1" customWidth="1"/>
    <col min="25" max="25" width="10.7109375" style="20" hidden="1" customWidth="1"/>
    <col min="26" max="26" width="9.7109375" style="20" hidden="1" customWidth="1"/>
    <col min="27" max="35" width="9.7109375" style="11" hidden="1" customWidth="1"/>
    <col min="36" max="201" width="9.7109375" style="11" customWidth="1"/>
    <col min="202" max="232" width="10.00390625" style="11" bestFit="1" customWidth="1"/>
    <col min="233" max="16384" width="9.7109375" style="11" customWidth="1"/>
  </cols>
  <sheetData>
    <row r="1" spans="1:26" s="3" customFormat="1" ht="33.75" customHeight="1">
      <c r="A1" s="21" t="s">
        <v>0</v>
      </c>
      <c r="B1" s="22"/>
      <c r="C1" s="9"/>
      <c r="D1" s="22"/>
      <c r="E1" s="9"/>
      <c r="F1" s="9"/>
      <c r="G1" s="67"/>
      <c r="H1" s="108"/>
      <c r="I1" s="108"/>
      <c r="J1" s="109"/>
      <c r="K1" s="110"/>
      <c r="L1" s="110"/>
      <c r="M1" s="22"/>
      <c r="P1" s="703"/>
      <c r="Q1" s="703"/>
      <c r="R1" s="722"/>
      <c r="S1" s="722"/>
      <c r="T1" s="722"/>
      <c r="U1" s="722"/>
      <c r="V1" s="722"/>
      <c r="W1" s="740"/>
      <c r="Y1" s="205"/>
      <c r="Z1" s="205"/>
    </row>
    <row r="2" spans="1:26" s="4" customFormat="1" ht="105" customHeight="1">
      <c r="A2" s="642" t="s">
        <v>39</v>
      </c>
      <c r="B2" s="643"/>
      <c r="C2" s="643"/>
      <c r="D2" s="643"/>
      <c r="E2" s="643"/>
      <c r="F2" s="643"/>
      <c r="G2" s="664"/>
      <c r="H2" s="643"/>
      <c r="I2" s="643"/>
      <c r="J2" s="664"/>
      <c r="K2" s="687"/>
      <c r="L2" s="687"/>
      <c r="M2" s="687"/>
      <c r="P2" s="704"/>
      <c r="Q2" s="704"/>
      <c r="R2" s="723" t="s">
        <v>40</v>
      </c>
      <c r="S2" s="724"/>
      <c r="T2" s="724"/>
      <c r="U2" s="724"/>
      <c r="V2" s="724"/>
      <c r="W2" s="741"/>
      <c r="Y2" s="206"/>
      <c r="Z2" s="206"/>
    </row>
    <row r="3" spans="1:26" s="4" customFormat="1" ht="51.75" customHeight="1">
      <c r="A3" s="140" t="s">
        <v>41</v>
      </c>
      <c r="B3" s="644" t="s">
        <v>42</v>
      </c>
      <c r="C3" s="645"/>
      <c r="D3" s="645"/>
      <c r="E3" s="645"/>
      <c r="F3" s="645"/>
      <c r="G3" s="645"/>
      <c r="H3" s="645"/>
      <c r="I3" s="645"/>
      <c r="J3" s="688"/>
      <c r="K3" s="689" t="s">
        <v>43</v>
      </c>
      <c r="L3" s="690"/>
      <c r="M3" s="705"/>
      <c r="O3" s="706" t="s">
        <v>41</v>
      </c>
      <c r="P3" s="707" t="s">
        <v>44</v>
      </c>
      <c r="Q3" s="707" t="s">
        <v>45</v>
      </c>
      <c r="R3" s="725" t="s">
        <v>44</v>
      </c>
      <c r="S3" s="725" t="s">
        <v>45</v>
      </c>
      <c r="T3" s="726" t="s">
        <v>46</v>
      </c>
      <c r="U3" s="725" t="s">
        <v>47</v>
      </c>
      <c r="V3" s="726" t="s">
        <v>48</v>
      </c>
      <c r="W3" s="165" t="s">
        <v>49</v>
      </c>
      <c r="Y3" s="206"/>
      <c r="Z3" s="206"/>
    </row>
    <row r="4" spans="1:26" s="4" customFormat="1" ht="99" customHeight="1">
      <c r="A4" s="142"/>
      <c r="B4" s="646" t="s">
        <v>50</v>
      </c>
      <c r="C4" s="647" t="s">
        <v>51</v>
      </c>
      <c r="D4" s="648" t="s">
        <v>52</v>
      </c>
      <c r="E4" s="665" t="s">
        <v>53</v>
      </c>
      <c r="F4" s="666"/>
      <c r="G4" s="667"/>
      <c r="H4" s="665" t="s">
        <v>54</v>
      </c>
      <c r="I4" s="666"/>
      <c r="J4" s="667"/>
      <c r="K4" s="646" t="s">
        <v>55</v>
      </c>
      <c r="L4" s="647"/>
      <c r="M4" s="648"/>
      <c r="O4" s="708"/>
      <c r="P4" s="707"/>
      <c r="Q4" s="707"/>
      <c r="R4" s="725"/>
      <c r="S4" s="725"/>
      <c r="T4" s="727"/>
      <c r="U4" s="725"/>
      <c r="V4" s="727"/>
      <c r="W4" s="165"/>
      <c r="Y4" s="206"/>
      <c r="Z4" s="206"/>
    </row>
    <row r="5" spans="1:26" s="5" customFormat="1" ht="22.5" customHeight="1">
      <c r="A5" s="144"/>
      <c r="B5" s="649"/>
      <c r="C5" s="650"/>
      <c r="D5" s="651"/>
      <c r="E5" s="668" t="s">
        <v>56</v>
      </c>
      <c r="F5" s="669" t="s">
        <v>57</v>
      </c>
      <c r="G5" s="670" t="s">
        <v>58</v>
      </c>
      <c r="H5" s="668" t="s">
        <v>56</v>
      </c>
      <c r="I5" s="691" t="s">
        <v>57</v>
      </c>
      <c r="J5" s="670" t="s">
        <v>58</v>
      </c>
      <c r="K5" s="692" t="s">
        <v>59</v>
      </c>
      <c r="L5" s="669" t="s">
        <v>57</v>
      </c>
      <c r="M5" s="709" t="s">
        <v>58</v>
      </c>
      <c r="O5" s="710"/>
      <c r="P5" s="707"/>
      <c r="Q5" s="707"/>
      <c r="R5" s="725"/>
      <c r="S5" s="725"/>
      <c r="T5" s="727"/>
      <c r="U5" s="725"/>
      <c r="V5" s="727"/>
      <c r="W5" s="165"/>
      <c r="Y5" s="207"/>
      <c r="Z5" s="207"/>
    </row>
    <row r="6" spans="1:26" s="5" customFormat="1" ht="33.75" customHeight="1">
      <c r="A6" s="144"/>
      <c r="B6" s="649"/>
      <c r="C6" s="650"/>
      <c r="D6" s="651"/>
      <c r="E6" s="668"/>
      <c r="F6" s="669"/>
      <c r="G6" s="670"/>
      <c r="H6" s="668"/>
      <c r="I6" s="691"/>
      <c r="J6" s="670"/>
      <c r="K6" s="692"/>
      <c r="L6" s="669"/>
      <c r="M6" s="709"/>
      <c r="O6" s="710"/>
      <c r="P6" s="707"/>
      <c r="Q6" s="707"/>
      <c r="R6" s="725"/>
      <c r="S6" s="725"/>
      <c r="T6" s="728"/>
      <c r="U6" s="725"/>
      <c r="V6" s="728"/>
      <c r="W6" s="165"/>
      <c r="Y6" s="207"/>
      <c r="Z6" s="207"/>
    </row>
    <row r="7" spans="1:26" s="5" customFormat="1" ht="48.75" customHeight="1">
      <c r="A7" s="147" t="s">
        <v>15</v>
      </c>
      <c r="B7" s="652" t="s">
        <v>60</v>
      </c>
      <c r="C7" s="398" t="s">
        <v>61</v>
      </c>
      <c r="D7" s="653" t="s">
        <v>16</v>
      </c>
      <c r="E7" s="652">
        <v>4</v>
      </c>
      <c r="F7" s="398">
        <v>5</v>
      </c>
      <c r="G7" s="671" t="s">
        <v>17</v>
      </c>
      <c r="H7" s="652">
        <v>7</v>
      </c>
      <c r="I7" s="398">
        <v>8</v>
      </c>
      <c r="J7" s="149" t="s">
        <v>18</v>
      </c>
      <c r="K7" s="652">
        <v>10</v>
      </c>
      <c r="L7" s="398">
        <v>11</v>
      </c>
      <c r="M7" s="653" t="s">
        <v>62</v>
      </c>
      <c r="O7" s="711" t="s">
        <v>15</v>
      </c>
      <c r="P7" s="707" t="s">
        <v>63</v>
      </c>
      <c r="Q7" s="707" t="s">
        <v>63</v>
      </c>
      <c r="R7" s="725"/>
      <c r="S7" s="725"/>
      <c r="T7" s="725"/>
      <c r="U7" s="725"/>
      <c r="V7" s="725"/>
      <c r="W7" s="165"/>
      <c r="Y7" s="207"/>
      <c r="Z7" s="207"/>
    </row>
    <row r="8" spans="1:26" s="5" customFormat="1" ht="49.5" customHeight="1">
      <c r="A8" s="150" t="s">
        <v>64</v>
      </c>
      <c r="B8" s="654">
        <v>120000</v>
      </c>
      <c r="C8" s="47">
        <f>SUM(C10:C25)</f>
        <v>70608</v>
      </c>
      <c r="D8" s="120">
        <f aca="true" t="shared" si="0" ref="D8:D25">C8/B8</f>
        <v>0.5884</v>
      </c>
      <c r="E8" s="121">
        <v>120000</v>
      </c>
      <c r="F8" s="85">
        <f>SUM(F10:F25)</f>
        <v>65856</v>
      </c>
      <c r="G8" s="86">
        <f aca="true" t="shared" si="1" ref="G8:G24">F8/E8</f>
        <v>0.5488</v>
      </c>
      <c r="H8" s="121" t="s">
        <v>21</v>
      </c>
      <c r="I8" s="85" t="s">
        <v>21</v>
      </c>
      <c r="J8" s="86" t="s">
        <v>21</v>
      </c>
      <c r="K8" s="122" t="s">
        <v>21</v>
      </c>
      <c r="L8" s="148" t="s">
        <v>21</v>
      </c>
      <c r="M8" s="149" t="s">
        <v>21</v>
      </c>
      <c r="O8" s="712" t="s">
        <v>64</v>
      </c>
      <c r="P8" s="707" t="s">
        <v>63</v>
      </c>
      <c r="Q8" s="707" t="s">
        <v>63</v>
      </c>
      <c r="R8" s="725"/>
      <c r="S8" s="725"/>
      <c r="T8" s="725"/>
      <c r="U8" s="725"/>
      <c r="V8" s="725"/>
      <c r="W8" s="165"/>
      <c r="Y8" s="207"/>
      <c r="Z8" s="207"/>
    </row>
    <row r="9" spans="1:26" s="5" customFormat="1" ht="49.5" customHeight="1">
      <c r="A9" s="150" t="s">
        <v>65</v>
      </c>
      <c r="B9" s="43">
        <f>SUM(B10:B25)</f>
        <v>153742</v>
      </c>
      <c r="C9" s="47">
        <f>SUM(C10:C25)</f>
        <v>70608</v>
      </c>
      <c r="D9" s="149">
        <f t="shared" si="0"/>
        <v>0.4592629209975153</v>
      </c>
      <c r="E9" s="43">
        <f>SUM(E10:E23)</f>
        <v>123613</v>
      </c>
      <c r="F9" s="47">
        <f>SUM(F10:F25)</f>
        <v>65856</v>
      </c>
      <c r="G9" s="86">
        <f t="shared" si="1"/>
        <v>0.5327594994054023</v>
      </c>
      <c r="H9" s="121">
        <f>SUM(H10:H25)</f>
        <v>24756</v>
      </c>
      <c r="I9" s="85">
        <f>SUM(I10:I25)</f>
        <v>4752</v>
      </c>
      <c r="J9" s="86">
        <f>I9/H9</f>
        <v>0.1919534658264663</v>
      </c>
      <c r="K9" s="43">
        <f>SUM(K10:K25)</f>
        <v>99690</v>
      </c>
      <c r="L9" s="47">
        <f>SUM(L10:L25)</f>
        <v>1219</v>
      </c>
      <c r="M9" s="149">
        <f aca="true" t="shared" si="2" ref="M9:M23">L9/K9</f>
        <v>0.012227906510181562</v>
      </c>
      <c r="O9" s="712" t="s">
        <v>65</v>
      </c>
      <c r="P9" s="713">
        <f>SUM(P10:P23)</f>
        <v>22622</v>
      </c>
      <c r="Q9" s="713">
        <f>SUM(Q10:Q23)</f>
        <v>23803</v>
      </c>
      <c r="R9" s="725"/>
      <c r="S9" s="725"/>
      <c r="T9" s="725"/>
      <c r="U9" s="725"/>
      <c r="V9" s="725"/>
      <c r="W9" s="165">
        <f>SUM(W10:W23)</f>
        <v>23572</v>
      </c>
      <c r="Y9" s="207"/>
      <c r="Z9" s="207"/>
    </row>
    <row r="10" spans="1:31" s="638" customFormat="1" ht="45.75" customHeight="1">
      <c r="A10" s="150" t="s">
        <v>22</v>
      </c>
      <c r="B10" s="43">
        <f>E10+H10</f>
        <v>9050</v>
      </c>
      <c r="C10" s="47">
        <f>F10+I10</f>
        <v>4708</v>
      </c>
      <c r="D10" s="120">
        <f t="shared" si="0"/>
        <v>0.5202209944751381</v>
      </c>
      <c r="E10" s="125">
        <v>7051</v>
      </c>
      <c r="F10" s="89">
        <v>4078</v>
      </c>
      <c r="G10" s="86">
        <f t="shared" si="1"/>
        <v>0.5783576797617359</v>
      </c>
      <c r="H10" s="672">
        <v>1999</v>
      </c>
      <c r="I10" s="124">
        <v>630</v>
      </c>
      <c r="J10" s="86">
        <f>I10/H10</f>
        <v>0.3151575787893947</v>
      </c>
      <c r="K10" s="125">
        <v>8773</v>
      </c>
      <c r="L10" s="151">
        <v>0</v>
      </c>
      <c r="M10" s="149">
        <f t="shared" si="2"/>
        <v>0</v>
      </c>
      <c r="O10" s="712" t="s">
        <v>22</v>
      </c>
      <c r="P10" s="707">
        <v>1553</v>
      </c>
      <c r="Q10" s="729">
        <v>2525</v>
      </c>
      <c r="R10" s="725">
        <v>1417</v>
      </c>
      <c r="S10" s="725">
        <v>2525</v>
      </c>
      <c r="T10" s="725">
        <v>0</v>
      </c>
      <c r="U10" s="725">
        <v>0</v>
      </c>
      <c r="V10" s="725">
        <v>630</v>
      </c>
      <c r="W10" s="165">
        <v>2525</v>
      </c>
      <c r="Y10" s="224"/>
      <c r="Z10" s="745" t="s">
        <v>66</v>
      </c>
      <c r="AA10" s="746">
        <v>2183</v>
      </c>
      <c r="AB10" s="747" t="s">
        <v>66</v>
      </c>
      <c r="AC10" s="746">
        <v>2525</v>
      </c>
      <c r="AE10" s="638">
        <f aca="true" t="shared" si="3" ref="AE10:AE18">AA10+AC10-C10</f>
        <v>0</v>
      </c>
    </row>
    <row r="11" spans="1:31" s="6" customFormat="1" ht="45.75" customHeight="1">
      <c r="A11" s="150" t="s">
        <v>23</v>
      </c>
      <c r="B11" s="43">
        <f>E11</f>
        <v>11061</v>
      </c>
      <c r="C11" s="47">
        <f>F11</f>
        <v>5646</v>
      </c>
      <c r="D11" s="120">
        <f t="shared" si="0"/>
        <v>0.510442093843233</v>
      </c>
      <c r="E11" s="125">
        <v>11061</v>
      </c>
      <c r="F11" s="89">
        <v>5646</v>
      </c>
      <c r="G11" s="86">
        <f t="shared" si="1"/>
        <v>0.510442093843233</v>
      </c>
      <c r="H11" s="673" t="s">
        <v>21</v>
      </c>
      <c r="I11" s="693" t="s">
        <v>21</v>
      </c>
      <c r="J11" s="86" t="s">
        <v>21</v>
      </c>
      <c r="K11" s="125">
        <v>11020</v>
      </c>
      <c r="L11" s="151">
        <v>0</v>
      </c>
      <c r="M11" s="149">
        <f t="shared" si="2"/>
        <v>0</v>
      </c>
      <c r="O11" s="150" t="s">
        <v>23</v>
      </c>
      <c r="P11" s="707">
        <v>3359</v>
      </c>
      <c r="Q11" s="729">
        <v>2252</v>
      </c>
      <c r="R11" s="725">
        <v>1989</v>
      </c>
      <c r="S11" s="725">
        <v>0</v>
      </c>
      <c r="T11" s="725" t="s">
        <v>21</v>
      </c>
      <c r="U11" s="725">
        <v>500</v>
      </c>
      <c r="V11" s="725" t="s">
        <v>21</v>
      </c>
      <c r="W11" s="165">
        <v>2252</v>
      </c>
      <c r="X11" s="213"/>
      <c r="Y11" s="224"/>
      <c r="Z11" s="747" t="s">
        <v>67</v>
      </c>
      <c r="AA11" s="746">
        <v>3359</v>
      </c>
      <c r="AB11" s="747" t="s">
        <v>67</v>
      </c>
      <c r="AC11" s="746">
        <v>2252</v>
      </c>
      <c r="AE11" s="638">
        <f t="shared" si="3"/>
        <v>-35</v>
      </c>
    </row>
    <row r="12" spans="1:31" s="638" customFormat="1" ht="45.75" customHeight="1">
      <c r="A12" s="150" t="s">
        <v>24</v>
      </c>
      <c r="B12" s="43">
        <f>E12</f>
        <v>5984</v>
      </c>
      <c r="C12" s="47">
        <f>F12</f>
        <v>4622</v>
      </c>
      <c r="D12" s="120">
        <f t="shared" si="0"/>
        <v>0.7723930481283422</v>
      </c>
      <c r="E12" s="125">
        <v>5984</v>
      </c>
      <c r="F12" s="89">
        <f>P12+Q12+310</f>
        <v>4622</v>
      </c>
      <c r="G12" s="86">
        <f t="shared" si="1"/>
        <v>0.7723930481283422</v>
      </c>
      <c r="H12" s="673" t="s">
        <v>21</v>
      </c>
      <c r="I12" s="693" t="s">
        <v>21</v>
      </c>
      <c r="J12" s="86" t="s">
        <v>21</v>
      </c>
      <c r="K12" s="125">
        <v>4850</v>
      </c>
      <c r="L12" s="151">
        <v>0</v>
      </c>
      <c r="M12" s="149">
        <f t="shared" si="2"/>
        <v>0</v>
      </c>
      <c r="O12" s="712" t="s">
        <v>24</v>
      </c>
      <c r="P12" s="707">
        <v>1943</v>
      </c>
      <c r="Q12" s="729">
        <v>2369</v>
      </c>
      <c r="R12" s="725">
        <v>96</v>
      </c>
      <c r="S12" s="725">
        <v>0</v>
      </c>
      <c r="T12" s="725" t="s">
        <v>21</v>
      </c>
      <c r="U12" s="725">
        <v>0</v>
      </c>
      <c r="V12" s="725" t="s">
        <v>21</v>
      </c>
      <c r="W12" s="165">
        <v>2369</v>
      </c>
      <c r="Y12" s="224"/>
      <c r="Z12" s="747" t="s">
        <v>68</v>
      </c>
      <c r="AA12" s="746">
        <v>1943</v>
      </c>
      <c r="AB12" s="747" t="s">
        <v>68</v>
      </c>
      <c r="AC12" s="746">
        <v>2369</v>
      </c>
      <c r="AE12" s="638">
        <f t="shared" si="3"/>
        <v>-310</v>
      </c>
    </row>
    <row r="13" spans="1:31" s="6" customFormat="1" ht="45.75" customHeight="1">
      <c r="A13" s="150" t="s">
        <v>25</v>
      </c>
      <c r="B13" s="43">
        <f>E13+H13</f>
        <v>4099</v>
      </c>
      <c r="C13" s="47">
        <f>F13+I13</f>
        <v>1096</v>
      </c>
      <c r="D13" s="120">
        <f t="shared" si="0"/>
        <v>0.26738228836301536</v>
      </c>
      <c r="E13" s="125">
        <v>3766</v>
      </c>
      <c r="F13" s="89">
        <f>P13+Q13</f>
        <v>1081</v>
      </c>
      <c r="G13" s="86">
        <f t="shared" si="1"/>
        <v>0.2870419543281997</v>
      </c>
      <c r="H13" s="672">
        <v>333</v>
      </c>
      <c r="I13" s="124">
        <v>15</v>
      </c>
      <c r="J13" s="86">
        <f>I13/H13</f>
        <v>0.04504504504504504</v>
      </c>
      <c r="K13" s="125">
        <v>8402</v>
      </c>
      <c r="L13" s="151">
        <v>55</v>
      </c>
      <c r="M13" s="149">
        <f t="shared" si="2"/>
        <v>0.006546060461794811</v>
      </c>
      <c r="O13" s="150" t="s">
        <v>25</v>
      </c>
      <c r="P13" s="714">
        <v>0</v>
      </c>
      <c r="Q13" s="730">
        <v>1081</v>
      </c>
      <c r="R13" s="725">
        <v>303</v>
      </c>
      <c r="S13" s="731">
        <v>877</v>
      </c>
      <c r="T13" s="732">
        <v>333</v>
      </c>
      <c r="U13" s="725">
        <v>0</v>
      </c>
      <c r="V13" s="725">
        <v>15</v>
      </c>
      <c r="W13" s="165">
        <v>0</v>
      </c>
      <c r="X13" s="742" t="s">
        <v>69</v>
      </c>
      <c r="Y13" s="224"/>
      <c r="Z13" s="747" t="s">
        <v>70</v>
      </c>
      <c r="AA13" s="746">
        <v>15</v>
      </c>
      <c r="AB13" s="747" t="s">
        <v>70</v>
      </c>
      <c r="AC13" s="746">
        <v>877</v>
      </c>
      <c r="AE13" s="638">
        <f t="shared" si="3"/>
        <v>-204</v>
      </c>
    </row>
    <row r="14" spans="1:31" s="6" customFormat="1" ht="45.75" customHeight="1">
      <c r="A14" s="150" t="s">
        <v>26</v>
      </c>
      <c r="B14" s="43">
        <f>E14</f>
        <v>241</v>
      </c>
      <c r="C14" s="47">
        <f>F14</f>
        <v>241</v>
      </c>
      <c r="D14" s="120">
        <f t="shared" si="0"/>
        <v>1</v>
      </c>
      <c r="E14" s="125">
        <v>241</v>
      </c>
      <c r="F14" s="89">
        <f>P14+Q14</f>
        <v>241</v>
      </c>
      <c r="G14" s="86">
        <f t="shared" si="1"/>
        <v>1</v>
      </c>
      <c r="H14" s="673" t="s">
        <v>21</v>
      </c>
      <c r="I14" s="693" t="s">
        <v>21</v>
      </c>
      <c r="J14" s="86" t="s">
        <v>21</v>
      </c>
      <c r="K14" s="125">
        <v>439</v>
      </c>
      <c r="L14" s="151">
        <v>0</v>
      </c>
      <c r="M14" s="149">
        <f t="shared" si="2"/>
        <v>0</v>
      </c>
      <c r="O14" s="150" t="s">
        <v>26</v>
      </c>
      <c r="P14" s="707">
        <v>0</v>
      </c>
      <c r="Q14" s="729">
        <v>241</v>
      </c>
      <c r="R14" s="725">
        <v>0</v>
      </c>
      <c r="S14" s="725">
        <v>0</v>
      </c>
      <c r="T14" s="725" t="s">
        <v>21</v>
      </c>
      <c r="U14" s="725">
        <v>0</v>
      </c>
      <c r="V14" s="725" t="s">
        <v>21</v>
      </c>
      <c r="W14" s="165">
        <v>241</v>
      </c>
      <c r="Y14" s="224"/>
      <c r="Z14" s="747"/>
      <c r="AA14" s="746"/>
      <c r="AB14" s="747" t="s">
        <v>71</v>
      </c>
      <c r="AC14" s="746">
        <v>241</v>
      </c>
      <c r="AE14" s="638">
        <f t="shared" si="3"/>
        <v>0</v>
      </c>
    </row>
    <row r="15" spans="1:31" s="6" customFormat="1" ht="45.75" customHeight="1">
      <c r="A15" s="150" t="s">
        <v>27</v>
      </c>
      <c r="B15" s="43">
        <f>E15</f>
        <v>1514</v>
      </c>
      <c r="C15" s="47">
        <f>F15</f>
        <v>420</v>
      </c>
      <c r="D15" s="120">
        <f t="shared" si="0"/>
        <v>0.2774108322324967</v>
      </c>
      <c r="E15" s="125">
        <v>1514</v>
      </c>
      <c r="F15" s="89">
        <v>420</v>
      </c>
      <c r="G15" s="86">
        <f t="shared" si="1"/>
        <v>0.2774108322324967</v>
      </c>
      <c r="H15" s="673" t="s">
        <v>21</v>
      </c>
      <c r="I15" s="693" t="s">
        <v>21</v>
      </c>
      <c r="J15" s="86" t="s">
        <v>21</v>
      </c>
      <c r="K15" s="125">
        <v>1541</v>
      </c>
      <c r="L15" s="151">
        <v>0</v>
      </c>
      <c r="M15" s="149">
        <f t="shared" si="2"/>
        <v>0</v>
      </c>
      <c r="O15" s="150" t="s">
        <v>27</v>
      </c>
      <c r="P15" s="707">
        <v>60</v>
      </c>
      <c r="Q15" s="729">
        <v>0</v>
      </c>
      <c r="R15" s="725">
        <v>0</v>
      </c>
      <c r="S15" s="725" t="s">
        <v>63</v>
      </c>
      <c r="T15" s="725" t="s">
        <v>21</v>
      </c>
      <c r="U15" s="725">
        <v>0</v>
      </c>
      <c r="V15" s="725" t="s">
        <v>21</v>
      </c>
      <c r="W15" s="165"/>
      <c r="Y15" s="224"/>
      <c r="Z15" s="747" t="s">
        <v>72</v>
      </c>
      <c r="AA15" s="746">
        <v>60</v>
      </c>
      <c r="AB15" s="747"/>
      <c r="AC15" s="746"/>
      <c r="AE15" s="638">
        <f t="shared" si="3"/>
        <v>-360</v>
      </c>
    </row>
    <row r="16" spans="1:31" s="6" customFormat="1" ht="45.75" customHeight="1">
      <c r="A16" s="150" t="s">
        <v>28</v>
      </c>
      <c r="B16" s="43">
        <f>E16+H16</f>
        <v>8700</v>
      </c>
      <c r="C16" s="47">
        <f>F16+I16</f>
        <v>601</v>
      </c>
      <c r="D16" s="120">
        <f t="shared" si="0"/>
        <v>0.06908045977011494</v>
      </c>
      <c r="E16" s="125">
        <v>6791</v>
      </c>
      <c r="F16" s="89">
        <f>P16+Q16</f>
        <v>601</v>
      </c>
      <c r="G16" s="86">
        <f t="shared" si="1"/>
        <v>0.08849948461198645</v>
      </c>
      <c r="H16" s="672">
        <v>1909</v>
      </c>
      <c r="I16" s="124">
        <v>0</v>
      </c>
      <c r="J16" s="86">
        <f>I16/H16</f>
        <v>0</v>
      </c>
      <c r="K16" s="125">
        <v>3141</v>
      </c>
      <c r="L16" s="151">
        <v>0</v>
      </c>
      <c r="M16" s="149">
        <f t="shared" si="2"/>
        <v>0</v>
      </c>
      <c r="O16" s="150" t="s">
        <v>28</v>
      </c>
      <c r="P16" s="165">
        <v>316</v>
      </c>
      <c r="Q16" s="730">
        <v>285</v>
      </c>
      <c r="R16" s="165">
        <v>228</v>
      </c>
      <c r="S16" s="165">
        <v>8</v>
      </c>
      <c r="T16" s="165">
        <v>0</v>
      </c>
      <c r="U16" s="165">
        <v>0</v>
      </c>
      <c r="V16" s="165">
        <v>0</v>
      </c>
      <c r="W16" s="165">
        <v>188</v>
      </c>
      <c r="Y16" s="224"/>
      <c r="Z16" s="747" t="s">
        <v>73</v>
      </c>
      <c r="AA16" s="746">
        <v>316</v>
      </c>
      <c r="AB16" s="747" t="s">
        <v>73</v>
      </c>
      <c r="AC16" s="746">
        <v>285</v>
      </c>
      <c r="AE16" s="638">
        <f t="shared" si="3"/>
        <v>0</v>
      </c>
    </row>
    <row r="17" spans="1:31" s="7" customFormat="1" ht="45.75" customHeight="1">
      <c r="A17" s="150" t="s">
        <v>29</v>
      </c>
      <c r="B17" s="43">
        <f>E17</f>
        <v>2848</v>
      </c>
      <c r="C17" s="47">
        <f>F17</f>
        <v>2295</v>
      </c>
      <c r="D17" s="120">
        <f t="shared" si="0"/>
        <v>0.8058286516853933</v>
      </c>
      <c r="E17" s="125">
        <v>2848</v>
      </c>
      <c r="F17" s="89">
        <f>P17+Q17+103</f>
        <v>2295</v>
      </c>
      <c r="G17" s="86">
        <f t="shared" si="1"/>
        <v>0.8058286516853933</v>
      </c>
      <c r="H17" s="673" t="s">
        <v>21</v>
      </c>
      <c r="I17" s="693" t="s">
        <v>21</v>
      </c>
      <c r="J17" s="86" t="s">
        <v>21</v>
      </c>
      <c r="K17" s="125">
        <v>4952</v>
      </c>
      <c r="L17" s="151">
        <v>0</v>
      </c>
      <c r="M17" s="149">
        <f t="shared" si="2"/>
        <v>0</v>
      </c>
      <c r="N17" s="6"/>
      <c r="O17" s="150" t="s">
        <v>29</v>
      </c>
      <c r="P17" s="715">
        <v>0</v>
      </c>
      <c r="Q17" s="729">
        <v>2192</v>
      </c>
      <c r="R17" s="733">
        <v>0</v>
      </c>
      <c r="S17" s="733">
        <v>2192</v>
      </c>
      <c r="T17" s="725" t="s">
        <v>21</v>
      </c>
      <c r="U17" s="733">
        <v>0</v>
      </c>
      <c r="V17" s="733" t="s">
        <v>21</v>
      </c>
      <c r="W17" s="167">
        <v>2152</v>
      </c>
      <c r="X17" s="213"/>
      <c r="Y17" s="224"/>
      <c r="Z17" s="747" t="s">
        <v>74</v>
      </c>
      <c r="AA17" s="746">
        <v>0</v>
      </c>
      <c r="AB17" s="747" t="s">
        <v>74</v>
      </c>
      <c r="AC17" s="746">
        <v>2192</v>
      </c>
      <c r="AE17" s="638">
        <f t="shared" si="3"/>
        <v>-103</v>
      </c>
    </row>
    <row r="18" spans="1:31" s="6" customFormat="1" ht="45.75" customHeight="1">
      <c r="A18" s="150" t="s">
        <v>30</v>
      </c>
      <c r="B18" s="43">
        <f>E18</f>
        <v>6178</v>
      </c>
      <c r="C18" s="47">
        <f>F18</f>
        <v>670</v>
      </c>
      <c r="D18" s="120">
        <f t="shared" si="0"/>
        <v>0.10844933635480739</v>
      </c>
      <c r="E18" s="125">
        <v>6178</v>
      </c>
      <c r="F18" s="89">
        <f>P18+Q18</f>
        <v>670</v>
      </c>
      <c r="G18" s="86">
        <f t="shared" si="1"/>
        <v>0.10844933635480739</v>
      </c>
      <c r="H18" s="673" t="s">
        <v>21</v>
      </c>
      <c r="I18" s="693" t="s">
        <v>21</v>
      </c>
      <c r="J18" s="86" t="s">
        <v>21</v>
      </c>
      <c r="K18" s="125">
        <v>2401</v>
      </c>
      <c r="L18" s="151">
        <v>0</v>
      </c>
      <c r="M18" s="149">
        <f t="shared" si="2"/>
        <v>0</v>
      </c>
      <c r="O18" s="150" t="s">
        <v>30</v>
      </c>
      <c r="P18" s="165">
        <v>0</v>
      </c>
      <c r="Q18" s="734">
        <v>670</v>
      </c>
      <c r="R18" s="171" t="s">
        <v>76</v>
      </c>
      <c r="S18" s="169">
        <v>0</v>
      </c>
      <c r="T18" s="169" t="s">
        <v>21</v>
      </c>
      <c r="U18" s="171" t="s">
        <v>76</v>
      </c>
      <c r="V18" s="171" t="s">
        <v>21</v>
      </c>
      <c r="W18" s="169">
        <v>670</v>
      </c>
      <c r="Y18" s="748"/>
      <c r="Z18" s="747"/>
      <c r="AA18" s="746"/>
      <c r="AB18" s="747" t="s">
        <v>77</v>
      </c>
      <c r="AC18" s="746">
        <v>670</v>
      </c>
      <c r="AE18" s="638">
        <f t="shared" si="3"/>
        <v>0</v>
      </c>
    </row>
    <row r="19" spans="1:31" s="6" customFormat="1" ht="45.75" customHeight="1">
      <c r="A19" s="150" t="s">
        <v>31</v>
      </c>
      <c r="B19" s="43">
        <f>E19+H19</f>
        <v>53472</v>
      </c>
      <c r="C19" s="47">
        <f>F19+I19</f>
        <v>17453</v>
      </c>
      <c r="D19" s="120">
        <f t="shared" si="0"/>
        <v>0.3263951226810293</v>
      </c>
      <c r="E19" s="125">
        <v>44714</v>
      </c>
      <c r="F19" s="89">
        <v>17453</v>
      </c>
      <c r="G19" s="86">
        <f t="shared" si="1"/>
        <v>0.39032517779666326</v>
      </c>
      <c r="H19" s="672">
        <v>8758</v>
      </c>
      <c r="I19" s="124">
        <f>T19</f>
        <v>0</v>
      </c>
      <c r="J19" s="86">
        <f>I19/H19</f>
        <v>0</v>
      </c>
      <c r="K19" s="125">
        <v>23036</v>
      </c>
      <c r="L19" s="151">
        <v>110</v>
      </c>
      <c r="M19" s="149">
        <f t="shared" si="2"/>
        <v>0.004775134571974301</v>
      </c>
      <c r="O19" s="150" t="s">
        <v>31</v>
      </c>
      <c r="P19" s="714">
        <v>6875</v>
      </c>
      <c r="Q19" s="735">
        <v>3307</v>
      </c>
      <c r="R19" s="731"/>
      <c r="S19" s="731">
        <v>492</v>
      </c>
      <c r="T19" s="731">
        <v>0</v>
      </c>
      <c r="U19" s="731">
        <v>0</v>
      </c>
      <c r="V19" s="731"/>
      <c r="W19" s="165">
        <f>14481-6827</f>
        <v>7654</v>
      </c>
      <c r="X19" s="743" t="s">
        <v>78</v>
      </c>
      <c r="Y19" s="210"/>
      <c r="Z19" s="747" t="s">
        <v>79</v>
      </c>
      <c r="AA19" s="746">
        <v>5540</v>
      </c>
      <c r="AB19" s="747" t="s">
        <v>79</v>
      </c>
      <c r="AC19" s="746">
        <v>3045</v>
      </c>
      <c r="AE19" s="638">
        <f>AC19+AA19-C20</f>
        <v>0</v>
      </c>
    </row>
    <row r="20" spans="1:31" s="6" customFormat="1" ht="45.75" customHeight="1">
      <c r="A20" s="150" t="s">
        <v>32</v>
      </c>
      <c r="B20" s="43">
        <f>E20+H20</f>
        <v>16740</v>
      </c>
      <c r="C20" s="47">
        <f>F20+I20</f>
        <v>8585</v>
      </c>
      <c r="D20" s="120">
        <f t="shared" si="0"/>
        <v>0.5128434886499402</v>
      </c>
      <c r="E20" s="125">
        <v>12303</v>
      </c>
      <c r="F20" s="89">
        <f>P20+Q20</f>
        <v>7590</v>
      </c>
      <c r="G20" s="86">
        <f t="shared" si="1"/>
        <v>0.6169227017800536</v>
      </c>
      <c r="H20" s="672">
        <v>4437</v>
      </c>
      <c r="I20" s="124">
        <v>995</v>
      </c>
      <c r="J20" s="86">
        <f>I20/H20</f>
        <v>0.22425061978814514</v>
      </c>
      <c r="K20" s="125">
        <v>15124</v>
      </c>
      <c r="L20" s="151">
        <v>1054</v>
      </c>
      <c r="M20" s="149">
        <f t="shared" si="2"/>
        <v>0.06969055805342501</v>
      </c>
      <c r="O20" s="150" t="s">
        <v>32</v>
      </c>
      <c r="P20" s="165">
        <v>4545</v>
      </c>
      <c r="Q20" s="730">
        <v>3045</v>
      </c>
      <c r="R20" s="165">
        <v>3264</v>
      </c>
      <c r="S20" s="165">
        <v>650</v>
      </c>
      <c r="T20" s="165">
        <v>313</v>
      </c>
      <c r="U20" s="165">
        <v>968</v>
      </c>
      <c r="V20" s="165">
        <v>995</v>
      </c>
      <c r="W20" s="165">
        <v>1685</v>
      </c>
      <c r="X20" s="221"/>
      <c r="Y20" s="222"/>
      <c r="Z20" s="747" t="s">
        <v>80</v>
      </c>
      <c r="AA20" s="746">
        <v>110</v>
      </c>
      <c r="AB20" s="747" t="s">
        <v>80</v>
      </c>
      <c r="AC20" s="746">
        <v>609</v>
      </c>
      <c r="AE20" s="638">
        <f>AC20+AA20-C21</f>
        <v>0</v>
      </c>
    </row>
    <row r="21" spans="1:31" s="638" customFormat="1" ht="45.75" customHeight="1">
      <c r="A21" s="150" t="s">
        <v>33</v>
      </c>
      <c r="B21" s="43">
        <f>E21</f>
        <v>3855</v>
      </c>
      <c r="C21" s="47">
        <f>F21</f>
        <v>719</v>
      </c>
      <c r="D21" s="120">
        <f t="shared" si="0"/>
        <v>0.18651102464332037</v>
      </c>
      <c r="E21" s="125">
        <v>3855</v>
      </c>
      <c r="F21" s="89">
        <f>P21+Q21</f>
        <v>719</v>
      </c>
      <c r="G21" s="86">
        <f t="shared" si="1"/>
        <v>0.18651102464332037</v>
      </c>
      <c r="H21" s="673" t="s">
        <v>21</v>
      </c>
      <c r="I21" s="693" t="s">
        <v>21</v>
      </c>
      <c r="J21" s="86" t="s">
        <v>21</v>
      </c>
      <c r="K21" s="125">
        <v>956</v>
      </c>
      <c r="L21" s="151">
        <v>0</v>
      </c>
      <c r="M21" s="149">
        <f t="shared" si="2"/>
        <v>0</v>
      </c>
      <c r="O21" s="712" t="s">
        <v>33</v>
      </c>
      <c r="P21" s="707">
        <v>110</v>
      </c>
      <c r="Q21" s="736">
        <v>609</v>
      </c>
      <c r="R21" s="728">
        <v>0</v>
      </c>
      <c r="S21" s="728">
        <v>0</v>
      </c>
      <c r="T21" s="728" t="s">
        <v>21</v>
      </c>
      <c r="U21" s="728">
        <v>0</v>
      </c>
      <c r="V21" s="728" t="s">
        <v>21</v>
      </c>
      <c r="W21" s="163">
        <v>609</v>
      </c>
      <c r="Y21" s="224"/>
      <c r="Z21" s="747" t="s">
        <v>81</v>
      </c>
      <c r="AA21" s="746">
        <v>0</v>
      </c>
      <c r="AB21" s="747" t="s">
        <v>81</v>
      </c>
      <c r="AC21" s="746">
        <v>1208</v>
      </c>
      <c r="AE21" s="638">
        <f>AC21+AA21-C22</f>
        <v>-1479</v>
      </c>
    </row>
    <row r="22" spans="1:31" s="638" customFormat="1" ht="45.75" customHeight="1">
      <c r="A22" s="150" t="s">
        <v>34</v>
      </c>
      <c r="B22" s="43">
        <f>E22+H22</f>
        <v>6657</v>
      </c>
      <c r="C22" s="47">
        <f>F22+I22</f>
        <v>2687</v>
      </c>
      <c r="D22" s="149">
        <f t="shared" si="0"/>
        <v>0.40363527114315756</v>
      </c>
      <c r="E22" s="125">
        <v>5995</v>
      </c>
      <c r="F22" s="89">
        <v>2687</v>
      </c>
      <c r="G22" s="86">
        <f t="shared" si="1"/>
        <v>0.4482068390325271</v>
      </c>
      <c r="H22" s="672">
        <v>662</v>
      </c>
      <c r="I22" s="124">
        <v>0</v>
      </c>
      <c r="J22" s="86">
        <f>I22/H22</f>
        <v>0</v>
      </c>
      <c r="K22" s="125">
        <v>3506</v>
      </c>
      <c r="L22" s="151">
        <v>0</v>
      </c>
      <c r="M22" s="149">
        <f t="shared" si="2"/>
        <v>0</v>
      </c>
      <c r="O22" s="712" t="s">
        <v>34</v>
      </c>
      <c r="P22" s="707">
        <v>0</v>
      </c>
      <c r="Q22" s="729">
        <v>1208</v>
      </c>
      <c r="R22" s="725">
        <v>0</v>
      </c>
      <c r="S22" s="725">
        <v>300</v>
      </c>
      <c r="T22" s="737" t="s">
        <v>76</v>
      </c>
      <c r="U22" s="725">
        <v>0</v>
      </c>
      <c r="V22" s="725" t="s">
        <v>21</v>
      </c>
      <c r="W22" s="165">
        <v>308</v>
      </c>
      <c r="Y22" s="224"/>
      <c r="Z22" s="747" t="s">
        <v>82</v>
      </c>
      <c r="AA22" s="746">
        <v>4261</v>
      </c>
      <c r="AB22" s="747" t="s">
        <v>82</v>
      </c>
      <c r="AC22" s="746">
        <v>4019</v>
      </c>
      <c r="AE22" s="638">
        <f>AC22+AA22-C23</f>
        <v>-4500</v>
      </c>
    </row>
    <row r="23" spans="1:27" s="638" customFormat="1" ht="45.75" customHeight="1">
      <c r="A23" s="154" t="s">
        <v>35</v>
      </c>
      <c r="B23" s="655">
        <f>E23+H23</f>
        <v>15258</v>
      </c>
      <c r="C23" s="656">
        <f>F23+I23</f>
        <v>12780</v>
      </c>
      <c r="D23" s="657">
        <f t="shared" si="0"/>
        <v>0.8375933936295714</v>
      </c>
      <c r="E23" s="674">
        <v>11312</v>
      </c>
      <c r="F23" s="675">
        <f>P23+Q23+4500</f>
        <v>12380</v>
      </c>
      <c r="G23" s="676">
        <f t="shared" si="1"/>
        <v>1.0944130127298444</v>
      </c>
      <c r="H23" s="677">
        <v>3946</v>
      </c>
      <c r="I23" s="694">
        <v>400</v>
      </c>
      <c r="J23" s="676">
        <f>I23/H23</f>
        <v>0.10136847440446022</v>
      </c>
      <c r="K23" s="674">
        <v>9114</v>
      </c>
      <c r="L23" s="695">
        <v>0</v>
      </c>
      <c r="M23" s="657">
        <f t="shared" si="2"/>
        <v>0</v>
      </c>
      <c r="O23" s="716" t="s">
        <v>35</v>
      </c>
      <c r="P23" s="707">
        <v>3861</v>
      </c>
      <c r="Q23" s="729">
        <v>4019</v>
      </c>
      <c r="R23" s="725">
        <v>2699</v>
      </c>
      <c r="S23" s="725">
        <v>1100</v>
      </c>
      <c r="T23" s="725">
        <v>400</v>
      </c>
      <c r="U23" s="725">
        <v>0</v>
      </c>
      <c r="V23" s="725">
        <v>400</v>
      </c>
      <c r="W23" s="165">
        <v>2919</v>
      </c>
      <c r="Y23" s="224"/>
      <c r="Z23" s="207"/>
      <c r="AA23" s="226"/>
    </row>
    <row r="24" spans="1:27" s="638" customFormat="1" ht="45.75" customHeight="1">
      <c r="A24" s="156" t="s">
        <v>83</v>
      </c>
      <c r="B24" s="658">
        <v>5373</v>
      </c>
      <c r="C24" s="659">
        <v>5373</v>
      </c>
      <c r="D24" s="660">
        <f t="shared" si="0"/>
        <v>1</v>
      </c>
      <c r="E24" s="678">
        <v>5373</v>
      </c>
      <c r="F24" s="679">
        <v>5373</v>
      </c>
      <c r="G24" s="680">
        <f t="shared" si="1"/>
        <v>1</v>
      </c>
      <c r="H24" s="681" t="s">
        <v>21</v>
      </c>
      <c r="I24" s="696" t="s">
        <v>21</v>
      </c>
      <c r="J24" s="697" t="s">
        <v>21</v>
      </c>
      <c r="K24" s="681" t="s">
        <v>21</v>
      </c>
      <c r="L24" s="696" t="s">
        <v>21</v>
      </c>
      <c r="M24" s="697" t="s">
        <v>21</v>
      </c>
      <c r="O24" s="717"/>
      <c r="P24" s="707"/>
      <c r="Q24" s="729"/>
      <c r="R24" s="725"/>
      <c r="S24" s="725"/>
      <c r="T24" s="725"/>
      <c r="U24" s="725"/>
      <c r="V24" s="725"/>
      <c r="W24" s="165"/>
      <c r="Y24" s="224"/>
      <c r="Z24" s="207"/>
      <c r="AA24" s="226"/>
    </row>
    <row r="25" spans="1:29" ht="60" customHeight="1">
      <c r="A25" s="159" t="s">
        <v>84</v>
      </c>
      <c r="B25" s="661">
        <f>H25</f>
        <v>2712</v>
      </c>
      <c r="C25" s="662">
        <f>I25</f>
        <v>2712</v>
      </c>
      <c r="D25" s="663">
        <f t="shared" si="0"/>
        <v>1</v>
      </c>
      <c r="E25" s="682" t="s">
        <v>21</v>
      </c>
      <c r="F25" s="683" t="s">
        <v>21</v>
      </c>
      <c r="G25" s="684" t="s">
        <v>21</v>
      </c>
      <c r="H25" s="685">
        <v>2712</v>
      </c>
      <c r="I25" s="698">
        <v>2712</v>
      </c>
      <c r="J25" s="684">
        <f>I25/H25</f>
        <v>1</v>
      </c>
      <c r="K25" s="699">
        <v>2435</v>
      </c>
      <c r="L25" s="700"/>
      <c r="M25" s="663">
        <f>L25/K25</f>
        <v>0</v>
      </c>
      <c r="O25" s="718" t="s">
        <v>84</v>
      </c>
      <c r="P25" s="719"/>
      <c r="Q25" s="719"/>
      <c r="R25" s="738"/>
      <c r="S25" s="738"/>
      <c r="T25" s="738"/>
      <c r="U25" s="738"/>
      <c r="V25" s="738"/>
      <c r="W25" s="175"/>
      <c r="Y25" s="224"/>
      <c r="Z25" s="207"/>
      <c r="AA25" s="226"/>
      <c r="AB25" s="638"/>
      <c r="AC25" s="638"/>
    </row>
    <row r="26" spans="2:27" ht="25.5">
      <c r="B26" s="64"/>
      <c r="C26" s="104"/>
      <c r="D26" s="64"/>
      <c r="E26" s="104"/>
      <c r="F26" s="105"/>
      <c r="G26" s="106"/>
      <c r="H26" s="686"/>
      <c r="I26" s="686"/>
      <c r="J26" s="701"/>
      <c r="K26" s="107"/>
      <c r="L26" s="107"/>
      <c r="Z26" s="207"/>
      <c r="AA26" s="226"/>
    </row>
    <row r="27" spans="2:27" ht="88.5" customHeight="1">
      <c r="B27" s="64"/>
      <c r="C27" s="104"/>
      <c r="D27" s="64"/>
      <c r="E27" s="104"/>
      <c r="F27" s="105"/>
      <c r="G27" s="106"/>
      <c r="H27" s="686"/>
      <c r="I27" s="686"/>
      <c r="J27" s="701"/>
      <c r="K27" s="702"/>
      <c r="L27" s="702"/>
      <c r="M27" s="720"/>
      <c r="Z27" s="207"/>
      <c r="AA27" s="227"/>
    </row>
    <row r="28" spans="2:27" ht="25.5">
      <c r="B28" s="64"/>
      <c r="C28" s="104"/>
      <c r="D28" s="64"/>
      <c r="E28" s="104"/>
      <c r="F28" s="105"/>
      <c r="G28" s="106"/>
      <c r="H28" s="686"/>
      <c r="I28" s="686"/>
      <c r="J28" s="701"/>
      <c r="K28" s="107"/>
      <c r="L28" s="107"/>
      <c r="Z28" s="207"/>
      <c r="AA28" s="227"/>
    </row>
    <row r="29" spans="1:29" s="10" customFormat="1" ht="25.5">
      <c r="A29" s="11"/>
      <c r="B29" s="64"/>
      <c r="C29" s="104"/>
      <c r="D29" s="64"/>
      <c r="E29" s="104"/>
      <c r="F29" s="105"/>
      <c r="G29" s="106"/>
      <c r="H29" s="133"/>
      <c r="I29" s="133"/>
      <c r="J29" s="134"/>
      <c r="K29" s="107"/>
      <c r="L29" s="107"/>
      <c r="P29" s="721"/>
      <c r="Q29" s="721"/>
      <c r="R29" s="739"/>
      <c r="S29" s="739"/>
      <c r="T29" s="739"/>
      <c r="U29" s="739"/>
      <c r="V29" s="739"/>
      <c r="W29" s="744"/>
      <c r="Y29" s="20"/>
      <c r="Z29" s="207"/>
      <c r="AA29" s="11"/>
      <c r="AB29" s="11"/>
      <c r="AC29" s="11"/>
    </row>
    <row r="30" spans="1:27" s="10" customFormat="1" ht="25.5">
      <c r="A30" s="11"/>
      <c r="B30" s="64"/>
      <c r="C30" s="104"/>
      <c r="D30" s="64"/>
      <c r="E30" s="104"/>
      <c r="F30" s="105"/>
      <c r="G30" s="106"/>
      <c r="H30" s="133"/>
      <c r="I30" s="133"/>
      <c r="J30" s="134"/>
      <c r="K30" s="107"/>
      <c r="L30" s="107"/>
      <c r="P30" s="721"/>
      <c r="Q30" s="721"/>
      <c r="R30" s="739"/>
      <c r="S30" s="739"/>
      <c r="T30" s="739"/>
      <c r="U30" s="739"/>
      <c r="V30" s="739"/>
      <c r="W30" s="744"/>
      <c r="Y30" s="228"/>
      <c r="Z30" s="207"/>
      <c r="AA30" s="11"/>
    </row>
    <row r="31" spans="1:26" s="10" customFormat="1" ht="25.5">
      <c r="A31" s="11"/>
      <c r="B31" s="64"/>
      <c r="C31" s="104"/>
      <c r="D31" s="64"/>
      <c r="E31" s="104"/>
      <c r="F31" s="105"/>
      <c r="G31" s="106"/>
      <c r="H31" s="133"/>
      <c r="I31" s="133"/>
      <c r="J31" s="134"/>
      <c r="K31" s="107"/>
      <c r="L31" s="107"/>
      <c r="P31" s="721"/>
      <c r="Q31" s="721"/>
      <c r="R31" s="739"/>
      <c r="S31" s="739"/>
      <c r="T31" s="739"/>
      <c r="U31" s="739"/>
      <c r="V31" s="739"/>
      <c r="W31" s="744"/>
      <c r="Y31" s="228"/>
      <c r="Z31" s="207"/>
    </row>
    <row r="32" spans="1:26" s="10" customFormat="1" ht="25.5">
      <c r="A32" s="11"/>
      <c r="B32" s="64"/>
      <c r="C32" s="104"/>
      <c r="D32" s="64"/>
      <c r="E32" s="104"/>
      <c r="F32" s="105"/>
      <c r="G32" s="106"/>
      <c r="H32" s="133"/>
      <c r="I32" s="133"/>
      <c r="J32" s="134"/>
      <c r="K32" s="107"/>
      <c r="L32" s="107"/>
      <c r="P32" s="721"/>
      <c r="Q32" s="721"/>
      <c r="R32" s="739"/>
      <c r="S32" s="739"/>
      <c r="T32" s="739"/>
      <c r="U32" s="739"/>
      <c r="V32" s="739"/>
      <c r="W32" s="744"/>
      <c r="Y32" s="228"/>
      <c r="Z32" s="207"/>
    </row>
    <row r="33" spans="1:26" s="10" customFormat="1" ht="25.5">
      <c r="A33" s="11"/>
      <c r="B33" s="64"/>
      <c r="C33" s="104"/>
      <c r="D33" s="64"/>
      <c r="E33" s="104"/>
      <c r="F33" s="105"/>
      <c r="G33" s="106"/>
      <c r="H33" s="133"/>
      <c r="I33" s="133"/>
      <c r="J33" s="134"/>
      <c r="K33" s="107"/>
      <c r="L33" s="107"/>
      <c r="P33" s="721"/>
      <c r="Q33" s="721"/>
      <c r="R33" s="739"/>
      <c r="S33" s="739"/>
      <c r="T33" s="739"/>
      <c r="U33" s="739"/>
      <c r="V33" s="739"/>
      <c r="W33" s="744"/>
      <c r="Y33" s="228"/>
      <c r="Z33" s="228"/>
    </row>
    <row r="34" spans="1:26" s="10" customFormat="1" ht="25.5">
      <c r="A34" s="11"/>
      <c r="B34" s="64"/>
      <c r="C34" s="104"/>
      <c r="D34" s="64"/>
      <c r="E34" s="104"/>
      <c r="F34" s="105"/>
      <c r="G34" s="106"/>
      <c r="H34" s="133"/>
      <c r="I34" s="133"/>
      <c r="J34" s="134"/>
      <c r="K34" s="107"/>
      <c r="L34" s="107"/>
      <c r="P34" s="721"/>
      <c r="Q34" s="721"/>
      <c r="R34" s="739"/>
      <c r="S34" s="739"/>
      <c r="T34" s="739"/>
      <c r="U34" s="739"/>
      <c r="V34" s="739"/>
      <c r="W34" s="744"/>
      <c r="Y34" s="228"/>
      <c r="Z34" s="228"/>
    </row>
    <row r="35" spans="1:26" s="10" customFormat="1" ht="25.5">
      <c r="A35" s="11"/>
      <c r="B35" s="64"/>
      <c r="C35" s="104"/>
      <c r="D35" s="64"/>
      <c r="E35" s="104"/>
      <c r="F35" s="105"/>
      <c r="G35" s="106"/>
      <c r="H35" s="133"/>
      <c r="I35" s="133"/>
      <c r="J35" s="134"/>
      <c r="K35" s="107"/>
      <c r="L35" s="107"/>
      <c r="P35" s="721"/>
      <c r="Q35" s="721"/>
      <c r="R35" s="739"/>
      <c r="S35" s="739"/>
      <c r="T35" s="739"/>
      <c r="U35" s="739"/>
      <c r="V35" s="739"/>
      <c r="W35" s="744"/>
      <c r="Y35" s="228"/>
      <c r="Z35" s="228"/>
    </row>
    <row r="36" spans="1:26" s="10" customFormat="1" ht="25.5">
      <c r="A36" s="11"/>
      <c r="B36" s="3"/>
      <c r="C36" s="11"/>
      <c r="D36" s="3"/>
      <c r="E36" s="11"/>
      <c r="F36" s="9"/>
      <c r="G36" s="13"/>
      <c r="H36" s="135"/>
      <c r="I36" s="135"/>
      <c r="J36" s="136"/>
      <c r="K36" s="16"/>
      <c r="L36" s="16"/>
      <c r="P36" s="721"/>
      <c r="Q36" s="721"/>
      <c r="R36" s="739"/>
      <c r="S36" s="739"/>
      <c r="T36" s="739"/>
      <c r="U36" s="739"/>
      <c r="V36" s="739"/>
      <c r="W36" s="744"/>
      <c r="Y36" s="228"/>
      <c r="Z36" s="228"/>
    </row>
    <row r="37" spans="1:26" s="10" customFormat="1" ht="25.5">
      <c r="A37" s="11"/>
      <c r="B37" s="3"/>
      <c r="C37" s="11"/>
      <c r="D37" s="3"/>
      <c r="E37" s="11"/>
      <c r="F37" s="9"/>
      <c r="G37" s="13"/>
      <c r="H37" s="135"/>
      <c r="I37" s="135"/>
      <c r="J37" s="136"/>
      <c r="K37" s="16"/>
      <c r="L37" s="16"/>
      <c r="P37" s="721"/>
      <c r="Q37" s="721"/>
      <c r="R37" s="739"/>
      <c r="S37" s="739"/>
      <c r="T37" s="739"/>
      <c r="U37" s="739"/>
      <c r="V37" s="739"/>
      <c r="W37" s="744"/>
      <c r="Y37" s="228"/>
      <c r="Z37" s="228"/>
    </row>
    <row r="38" spans="1:26" s="10" customFormat="1" ht="25.5">
      <c r="A38" s="11"/>
      <c r="B38" s="3"/>
      <c r="C38" s="11"/>
      <c r="D38" s="3"/>
      <c r="E38" s="11"/>
      <c r="F38" s="9"/>
      <c r="G38" s="13"/>
      <c r="H38" s="135"/>
      <c r="I38" s="135"/>
      <c r="J38" s="136"/>
      <c r="K38" s="16"/>
      <c r="L38" s="16"/>
      <c r="P38" s="721"/>
      <c r="Q38" s="721"/>
      <c r="R38" s="739"/>
      <c r="S38" s="739"/>
      <c r="T38" s="739"/>
      <c r="U38" s="739"/>
      <c r="V38" s="739"/>
      <c r="W38" s="744"/>
      <c r="Y38" s="228"/>
      <c r="Z38" s="228"/>
    </row>
    <row r="39" spans="1:26" s="10" customFormat="1" ht="25.5">
      <c r="A39" s="11"/>
      <c r="B39" s="3"/>
      <c r="C39" s="11"/>
      <c r="D39" s="3"/>
      <c r="E39" s="11"/>
      <c r="F39" s="9"/>
      <c r="G39" s="13"/>
      <c r="H39" s="135"/>
      <c r="I39" s="135"/>
      <c r="J39" s="136"/>
      <c r="K39" s="16"/>
      <c r="L39" s="16"/>
      <c r="P39" s="721"/>
      <c r="Q39" s="721"/>
      <c r="R39" s="739"/>
      <c r="S39" s="739"/>
      <c r="T39" s="739"/>
      <c r="U39" s="739"/>
      <c r="V39" s="739"/>
      <c r="W39" s="744"/>
      <c r="Y39" s="228"/>
      <c r="Z39" s="228"/>
    </row>
    <row r="40" spans="1:26" s="10" customFormat="1" ht="25.5">
      <c r="A40" s="11"/>
      <c r="B40" s="3"/>
      <c r="C40" s="11"/>
      <c r="D40" s="3"/>
      <c r="E40" s="11"/>
      <c r="F40" s="9"/>
      <c r="G40" s="13"/>
      <c r="H40" s="135"/>
      <c r="I40" s="135"/>
      <c r="J40" s="136"/>
      <c r="K40" s="16"/>
      <c r="L40" s="16"/>
      <c r="P40" s="721"/>
      <c r="Q40" s="721"/>
      <c r="R40" s="739"/>
      <c r="S40" s="739"/>
      <c r="T40" s="739"/>
      <c r="U40" s="739"/>
      <c r="V40" s="739"/>
      <c r="W40" s="744"/>
      <c r="Y40" s="228"/>
      <c r="Z40" s="228"/>
    </row>
    <row r="41" spans="1:26" s="10" customFormat="1" ht="25.5">
      <c r="A41" s="11"/>
      <c r="B41" s="3"/>
      <c r="C41" s="11"/>
      <c r="D41" s="3"/>
      <c r="E41" s="11"/>
      <c r="F41" s="9"/>
      <c r="G41" s="13"/>
      <c r="H41" s="135"/>
      <c r="I41" s="135"/>
      <c r="J41" s="136"/>
      <c r="K41" s="16"/>
      <c r="L41" s="16"/>
      <c r="P41" s="721"/>
      <c r="Q41" s="721"/>
      <c r="R41" s="739"/>
      <c r="S41" s="739"/>
      <c r="T41" s="739"/>
      <c r="U41" s="739"/>
      <c r="V41" s="739"/>
      <c r="W41" s="744"/>
      <c r="Y41" s="228"/>
      <c r="Z41" s="228"/>
    </row>
    <row r="42" spans="1:26" s="10" customFormat="1" ht="25.5">
      <c r="A42" s="11"/>
      <c r="B42" s="3"/>
      <c r="C42" s="11"/>
      <c r="D42" s="3"/>
      <c r="E42" s="11"/>
      <c r="F42" s="9"/>
      <c r="G42" s="13"/>
      <c r="H42" s="135"/>
      <c r="I42" s="135"/>
      <c r="J42" s="136"/>
      <c r="K42" s="16"/>
      <c r="L42" s="16"/>
      <c r="P42" s="721"/>
      <c r="Q42" s="721"/>
      <c r="R42" s="739"/>
      <c r="S42" s="739"/>
      <c r="T42" s="739"/>
      <c r="U42" s="739"/>
      <c r="V42" s="739"/>
      <c r="W42" s="744"/>
      <c r="Y42" s="228"/>
      <c r="Z42" s="228"/>
    </row>
    <row r="43" spans="1:26" s="10" customFormat="1" ht="25.5">
      <c r="A43" s="11"/>
      <c r="B43" s="3"/>
      <c r="C43" s="11"/>
      <c r="D43" s="3"/>
      <c r="E43" s="11"/>
      <c r="F43" s="9"/>
      <c r="G43" s="13"/>
      <c r="H43" s="135"/>
      <c r="I43" s="135"/>
      <c r="J43" s="136"/>
      <c r="K43" s="16"/>
      <c r="L43" s="16"/>
      <c r="P43" s="721"/>
      <c r="Q43" s="721"/>
      <c r="R43" s="739"/>
      <c r="S43" s="739"/>
      <c r="T43" s="739"/>
      <c r="U43" s="739"/>
      <c r="V43" s="739"/>
      <c r="W43" s="744"/>
      <c r="Y43" s="228"/>
      <c r="Z43" s="228"/>
    </row>
    <row r="44" spans="1:26" s="10" customFormat="1" ht="25.5">
      <c r="A44" s="11"/>
      <c r="B44" s="3"/>
      <c r="C44" s="11"/>
      <c r="D44" s="3"/>
      <c r="E44" s="11"/>
      <c r="F44" s="9"/>
      <c r="G44" s="13"/>
      <c r="H44" s="135"/>
      <c r="I44" s="135"/>
      <c r="J44" s="136"/>
      <c r="K44" s="16"/>
      <c r="L44" s="16"/>
      <c r="P44" s="721"/>
      <c r="Q44" s="721"/>
      <c r="R44" s="739"/>
      <c r="S44" s="739"/>
      <c r="T44" s="739"/>
      <c r="U44" s="739"/>
      <c r="V44" s="739"/>
      <c r="W44" s="744"/>
      <c r="Y44" s="228"/>
      <c r="Z44" s="228"/>
    </row>
    <row r="45" spans="1:26" s="10" customFormat="1" ht="25.5">
      <c r="A45" s="11"/>
      <c r="B45" s="3"/>
      <c r="C45" s="11"/>
      <c r="D45" s="3"/>
      <c r="E45" s="11"/>
      <c r="F45" s="9"/>
      <c r="G45" s="13"/>
      <c r="H45" s="135"/>
      <c r="I45" s="135"/>
      <c r="J45" s="136"/>
      <c r="K45" s="16"/>
      <c r="L45" s="16"/>
      <c r="P45" s="721"/>
      <c r="Q45" s="721"/>
      <c r="R45" s="739"/>
      <c r="S45" s="739"/>
      <c r="T45" s="739"/>
      <c r="U45" s="739"/>
      <c r="V45" s="739"/>
      <c r="W45" s="744"/>
      <c r="Y45" s="228"/>
      <c r="Z45" s="228"/>
    </row>
    <row r="46" spans="1:26" s="10" customFormat="1" ht="25.5">
      <c r="A46" s="11"/>
      <c r="B46" s="3"/>
      <c r="C46" s="11"/>
      <c r="D46" s="3"/>
      <c r="E46" s="11"/>
      <c r="F46" s="9"/>
      <c r="G46" s="13"/>
      <c r="H46" s="135"/>
      <c r="I46" s="135"/>
      <c r="J46" s="136"/>
      <c r="K46" s="16"/>
      <c r="L46" s="16"/>
      <c r="P46" s="721"/>
      <c r="Q46" s="721"/>
      <c r="R46" s="739"/>
      <c r="S46" s="739"/>
      <c r="T46" s="739"/>
      <c r="U46" s="739"/>
      <c r="V46" s="739"/>
      <c r="W46" s="744"/>
      <c r="Y46" s="228"/>
      <c r="Z46" s="228"/>
    </row>
    <row r="47" spans="25:29" ht="25.5">
      <c r="Y47" s="228"/>
      <c r="Z47" s="228"/>
      <c r="AA47" s="10"/>
      <c r="AB47" s="10"/>
      <c r="AC47" s="10"/>
    </row>
    <row r="48" spans="26:27" ht="25.5">
      <c r="Z48" s="228"/>
      <c r="AA48" s="10"/>
    </row>
  </sheetData>
  <sheetProtection/>
  <mergeCells count="30">
    <mergeCell ref="A2:M2"/>
    <mergeCell ref="P2:Q2"/>
    <mergeCell ref="R2:U2"/>
    <mergeCell ref="B3:J3"/>
    <mergeCell ref="K3:M3"/>
    <mergeCell ref="E4:G4"/>
    <mergeCell ref="H4:J4"/>
    <mergeCell ref="K4:M4"/>
    <mergeCell ref="A3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3:O6"/>
    <mergeCell ref="P3:P6"/>
    <mergeCell ref="Q3:Q6"/>
    <mergeCell ref="R3:R6"/>
    <mergeCell ref="S3:S6"/>
    <mergeCell ref="T3:T6"/>
    <mergeCell ref="U3:U6"/>
    <mergeCell ref="V3:V6"/>
    <mergeCell ref="W3:W6"/>
  </mergeCells>
  <printOptions/>
  <pageMargins left="0.275" right="0.19652777777777777" top="0.5506944444444445" bottom="0.5506944444444445" header="0.35" footer="0.5118055555555555"/>
  <pageSetup horizontalDpi="600" verticalDpi="600" orientation="portrait" paperSize="9" scale="5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85" zoomScaleNormal="85" zoomScaleSheetLayoutView="100" workbookViewId="0" topLeftCell="A10">
      <selection activeCell="G9" sqref="G9"/>
    </sheetView>
  </sheetViews>
  <sheetFormatPr defaultColWidth="9.00390625" defaultRowHeight="15"/>
  <cols>
    <col min="1" max="1" width="9.00390625" style="254" customWidth="1"/>
    <col min="2" max="2" width="12.140625" style="254" customWidth="1"/>
    <col min="3" max="4" width="11.421875" style="254" customWidth="1"/>
    <col min="5" max="5" width="12.00390625" style="254" customWidth="1"/>
    <col min="6" max="6" width="12.421875" style="254" customWidth="1"/>
    <col min="7" max="7" width="13.421875" style="254" customWidth="1"/>
    <col min="8" max="21" width="11.140625" style="254" hidden="1" customWidth="1"/>
    <col min="22" max="33" width="11.140625" style="254" customWidth="1"/>
    <col min="34" max="16384" width="9.00390625" style="254" customWidth="1"/>
  </cols>
  <sheetData>
    <row r="1" spans="1:8" s="250" customFormat="1" ht="23.25">
      <c r="A1" s="255" t="s">
        <v>85</v>
      </c>
      <c r="B1" s="613"/>
      <c r="C1" s="257"/>
      <c r="D1" s="257"/>
      <c r="E1" s="257"/>
      <c r="F1" s="257"/>
      <c r="G1" s="301"/>
      <c r="H1" s="301"/>
    </row>
    <row r="2" spans="1:8" s="250" customFormat="1" ht="30" customHeight="1">
      <c r="A2" s="614" t="s">
        <v>86</v>
      </c>
      <c r="B2" s="614"/>
      <c r="C2" s="614"/>
      <c r="D2" s="614"/>
      <c r="E2" s="614"/>
      <c r="F2" s="614"/>
      <c r="G2" s="614"/>
      <c r="H2" s="614"/>
    </row>
    <row r="3" spans="1:8" s="250" customFormat="1" ht="20.25">
      <c r="A3" s="615" t="s">
        <v>87</v>
      </c>
      <c r="B3" s="616"/>
      <c r="C3" s="616"/>
      <c r="D3" s="616"/>
      <c r="E3" s="616"/>
      <c r="F3" s="616"/>
      <c r="G3" s="616"/>
      <c r="H3" s="616"/>
    </row>
    <row r="4" spans="1:13" s="250" customFormat="1" ht="45" customHeight="1">
      <c r="A4" s="260" t="s">
        <v>88</v>
      </c>
      <c r="B4" s="260" t="s">
        <v>89</v>
      </c>
      <c r="C4" s="617" t="s">
        <v>90</v>
      </c>
      <c r="D4" s="265"/>
      <c r="E4" s="628" t="s">
        <v>91</v>
      </c>
      <c r="F4" s="628"/>
      <c r="G4" s="260" t="s">
        <v>92</v>
      </c>
      <c r="H4" s="260" t="s">
        <v>93</v>
      </c>
      <c r="I4" s="633" t="s">
        <v>94</v>
      </c>
      <c r="K4" s="634" t="s">
        <v>95</v>
      </c>
      <c r="L4" s="634" t="s">
        <v>96</v>
      </c>
      <c r="M4" s="634" t="s">
        <v>97</v>
      </c>
    </row>
    <row r="5" spans="1:13" s="250" customFormat="1" ht="15">
      <c r="A5" s="260"/>
      <c r="B5" s="260"/>
      <c r="C5" s="618"/>
      <c r="D5" s="619" t="s">
        <v>98</v>
      </c>
      <c r="E5" s="629"/>
      <c r="F5" s="630" t="s">
        <v>99</v>
      </c>
      <c r="G5" s="260"/>
      <c r="H5" s="260"/>
      <c r="I5" s="633"/>
      <c r="K5" s="635"/>
      <c r="L5" s="635"/>
      <c r="M5" s="635"/>
    </row>
    <row r="6" spans="1:13" s="250" customFormat="1" ht="15">
      <c r="A6" s="260"/>
      <c r="B6" s="260"/>
      <c r="C6" s="618"/>
      <c r="D6" s="269"/>
      <c r="E6" s="629"/>
      <c r="F6" s="630"/>
      <c r="G6" s="260"/>
      <c r="H6" s="260"/>
      <c r="I6" s="633"/>
      <c r="K6" s="635"/>
      <c r="L6" s="635"/>
      <c r="M6" s="635"/>
    </row>
    <row r="7" spans="1:20" s="250" customFormat="1" ht="56.25" customHeight="1">
      <c r="A7" s="260"/>
      <c r="B7" s="260"/>
      <c r="C7" s="620"/>
      <c r="D7" s="272"/>
      <c r="E7" s="629"/>
      <c r="F7" s="630"/>
      <c r="G7" s="260"/>
      <c r="H7" s="260"/>
      <c r="I7" s="633"/>
      <c r="K7" s="636"/>
      <c r="L7" s="636"/>
      <c r="M7" s="636"/>
      <c r="T7" s="250" t="s">
        <v>100</v>
      </c>
    </row>
    <row r="8" spans="1:13" s="250" customFormat="1" ht="18">
      <c r="A8" s="621" t="s">
        <v>101</v>
      </c>
      <c r="B8" s="622"/>
      <c r="C8" s="623">
        <v>1</v>
      </c>
      <c r="D8" s="274">
        <v>2</v>
      </c>
      <c r="E8" s="312">
        <v>3</v>
      </c>
      <c r="F8" s="274">
        <v>4</v>
      </c>
      <c r="G8" s="274" t="s">
        <v>102</v>
      </c>
      <c r="H8" s="312">
        <v>6</v>
      </c>
      <c r="K8" s="326">
        <v>3625</v>
      </c>
      <c r="L8" s="326">
        <v>5392</v>
      </c>
      <c r="M8" s="326">
        <f>SUM(M10:M23)</f>
        <v>2013</v>
      </c>
    </row>
    <row r="9" spans="1:20" s="250" customFormat="1" ht="24.75" customHeight="1">
      <c r="A9" s="621" t="s">
        <v>103</v>
      </c>
      <c r="B9" s="622"/>
      <c r="C9" s="347">
        <f>SUM(C10:C26)</f>
        <v>471726</v>
      </c>
      <c r="D9" s="347">
        <f>SUM(D10:D26)</f>
        <v>469693</v>
      </c>
      <c r="E9" s="347">
        <f>SUM(E10:E26)</f>
        <v>444486</v>
      </c>
      <c r="F9" s="347">
        <f>SUM(F10:F26)</f>
        <v>5820</v>
      </c>
      <c r="G9" s="631">
        <f>E9/D9</f>
        <v>0.9463330302985141</v>
      </c>
      <c r="H9" s="315" t="s">
        <v>21</v>
      </c>
      <c r="I9" s="250">
        <v>396080</v>
      </c>
      <c r="K9" s="326"/>
      <c r="L9" s="326"/>
      <c r="M9" s="326"/>
      <c r="T9" s="347">
        <f>SUM(T10:T26)</f>
        <v>9553</v>
      </c>
    </row>
    <row r="10" spans="1:21" s="251" customFormat="1" ht="24.75" customHeight="1">
      <c r="A10" s="278">
        <v>1</v>
      </c>
      <c r="B10" s="277" t="s">
        <v>104</v>
      </c>
      <c r="C10" s="278">
        <v>81218</v>
      </c>
      <c r="D10" s="279">
        <f>79452+108</f>
        <v>79560</v>
      </c>
      <c r="E10" s="279">
        <v>75380</v>
      </c>
      <c r="F10" s="279">
        <v>144</v>
      </c>
      <c r="G10" s="315">
        <f aca="true" t="shared" si="0" ref="G10:G23">(E10/D10)</f>
        <v>0.9474610356963298</v>
      </c>
      <c r="H10" s="316">
        <v>6</v>
      </c>
      <c r="I10" s="251">
        <v>73471</v>
      </c>
      <c r="J10" s="254"/>
      <c r="K10" s="329"/>
      <c r="L10" s="329"/>
      <c r="M10" s="329"/>
      <c r="T10" s="251">
        <v>1500</v>
      </c>
      <c r="U10" s="549">
        <f>F10/T10</f>
        <v>0.096</v>
      </c>
    </row>
    <row r="11" spans="1:21" s="251" customFormat="1" ht="24.75" customHeight="1">
      <c r="A11" s="278">
        <v>2</v>
      </c>
      <c r="B11" s="277" t="s">
        <v>105</v>
      </c>
      <c r="C11" s="278">
        <f>50121-L11</f>
        <v>47159</v>
      </c>
      <c r="D11" s="279">
        <f>50121-L11</f>
        <v>47159</v>
      </c>
      <c r="E11" s="279">
        <v>45463</v>
      </c>
      <c r="F11" s="279">
        <v>2366</v>
      </c>
      <c r="G11" s="315">
        <f t="shared" si="0"/>
        <v>0.9640365571789054</v>
      </c>
      <c r="H11" s="316">
        <v>13</v>
      </c>
      <c r="I11" s="251">
        <v>44082</v>
      </c>
      <c r="J11" s="254"/>
      <c r="K11" s="329"/>
      <c r="L11" s="329">
        <v>2962</v>
      </c>
      <c r="M11" s="329"/>
      <c r="T11" s="251">
        <v>2000</v>
      </c>
      <c r="U11" s="549">
        <f aca="true" t="shared" si="1" ref="U11:U23">F11/T11</f>
        <v>1.183</v>
      </c>
    </row>
    <row r="12" spans="1:21" s="251" customFormat="1" ht="24.75" customHeight="1">
      <c r="A12" s="278">
        <v>3</v>
      </c>
      <c r="B12" s="282" t="s">
        <v>106</v>
      </c>
      <c r="C12" s="278">
        <f>41161-L12-M12</f>
        <v>38645</v>
      </c>
      <c r="D12" s="279">
        <f>41161-L12-M12</f>
        <v>38645</v>
      </c>
      <c r="E12" s="279">
        <v>35664</v>
      </c>
      <c r="F12" s="279">
        <v>156</v>
      </c>
      <c r="G12" s="315">
        <f t="shared" si="0"/>
        <v>0.9228619485056282</v>
      </c>
      <c r="H12" s="316">
        <v>11</v>
      </c>
      <c r="I12" s="251">
        <v>35243</v>
      </c>
      <c r="J12" s="254"/>
      <c r="K12" s="329"/>
      <c r="L12" s="329">
        <v>1780</v>
      </c>
      <c r="M12" s="329">
        <v>736</v>
      </c>
      <c r="T12" s="251">
        <v>1355</v>
      </c>
      <c r="U12" s="549">
        <f t="shared" si="1"/>
        <v>0.11512915129151291</v>
      </c>
    </row>
    <row r="13" spans="1:21" s="251" customFormat="1" ht="24.75" customHeight="1">
      <c r="A13" s="278">
        <v>4</v>
      </c>
      <c r="B13" s="282" t="s">
        <v>107</v>
      </c>
      <c r="C13" s="278">
        <f>D13</f>
        <v>38529</v>
      </c>
      <c r="D13" s="279">
        <f>39382-450-L13</f>
        <v>38529</v>
      </c>
      <c r="E13" s="279">
        <v>36503</v>
      </c>
      <c r="F13" s="279">
        <v>604</v>
      </c>
      <c r="G13" s="315">
        <f t="shared" si="0"/>
        <v>0.9474162319291962</v>
      </c>
      <c r="H13" s="316">
        <v>10</v>
      </c>
      <c r="I13" s="251">
        <v>34802</v>
      </c>
      <c r="J13" s="254"/>
      <c r="K13" s="329">
        <v>450</v>
      </c>
      <c r="L13" s="329">
        <v>403</v>
      </c>
      <c r="M13" s="329"/>
      <c r="N13" s="299" t="s">
        <v>108</v>
      </c>
      <c r="T13" s="251">
        <v>700</v>
      </c>
      <c r="U13" s="549">
        <f t="shared" si="1"/>
        <v>0.8628571428571429</v>
      </c>
    </row>
    <row r="14" spans="1:21" s="251" customFormat="1" ht="24.75" customHeight="1">
      <c r="A14" s="278">
        <v>5</v>
      </c>
      <c r="B14" s="282" t="s">
        <v>109</v>
      </c>
      <c r="C14" s="278">
        <v>19100</v>
      </c>
      <c r="D14" s="279">
        <v>19100</v>
      </c>
      <c r="E14" s="279">
        <v>18115</v>
      </c>
      <c r="F14" s="279">
        <v>38</v>
      </c>
      <c r="G14" s="315">
        <f t="shared" si="0"/>
        <v>0.9484293193717277</v>
      </c>
      <c r="H14" s="316">
        <v>5</v>
      </c>
      <c r="I14" s="251">
        <v>17815</v>
      </c>
      <c r="J14" s="254"/>
      <c r="K14" s="329"/>
      <c r="L14" s="329"/>
      <c r="M14" s="329"/>
      <c r="T14" s="251">
        <v>145</v>
      </c>
      <c r="U14" s="549">
        <f t="shared" si="1"/>
        <v>0.2620689655172414</v>
      </c>
    </row>
    <row r="15" spans="1:21" s="251" customFormat="1" ht="24.75" customHeight="1">
      <c r="A15" s="278">
        <v>6</v>
      </c>
      <c r="B15" s="282" t="s">
        <v>110</v>
      </c>
      <c r="C15" s="278">
        <v>10118</v>
      </c>
      <c r="D15" s="279">
        <f>10213-K15</f>
        <v>10118</v>
      </c>
      <c r="E15" s="279">
        <v>9415</v>
      </c>
      <c r="F15" s="279">
        <v>225</v>
      </c>
      <c r="G15" s="315">
        <f t="shared" si="0"/>
        <v>0.9305198655860842</v>
      </c>
      <c r="H15" s="316">
        <v>12</v>
      </c>
      <c r="I15" s="251">
        <v>9318</v>
      </c>
      <c r="J15" s="254"/>
      <c r="K15" s="329">
        <v>95</v>
      </c>
      <c r="L15" s="329"/>
      <c r="M15" s="329"/>
      <c r="T15" s="251">
        <v>273</v>
      </c>
      <c r="U15" s="549">
        <f t="shared" si="1"/>
        <v>0.8241758241758241</v>
      </c>
    </row>
    <row r="16" spans="1:21" s="251" customFormat="1" ht="24.75" customHeight="1">
      <c r="A16" s="278">
        <v>7</v>
      </c>
      <c r="B16" s="282" t="s">
        <v>111</v>
      </c>
      <c r="C16" s="278">
        <v>29527</v>
      </c>
      <c r="D16" s="279">
        <v>29527</v>
      </c>
      <c r="E16" s="279">
        <v>27273</v>
      </c>
      <c r="F16" s="279">
        <v>913</v>
      </c>
      <c r="G16" s="315">
        <f t="shared" si="0"/>
        <v>0.9236630880211332</v>
      </c>
      <c r="H16" s="316">
        <v>9</v>
      </c>
      <c r="I16" s="251">
        <v>27056</v>
      </c>
      <c r="J16" s="254"/>
      <c r="K16" s="329"/>
      <c r="L16" s="329"/>
      <c r="M16" s="329"/>
      <c r="T16" s="251">
        <v>458</v>
      </c>
      <c r="U16" s="549">
        <f t="shared" si="1"/>
        <v>1.9934497816593886</v>
      </c>
    </row>
    <row r="17" spans="1:22" s="252" customFormat="1" ht="24.75" customHeight="1">
      <c r="A17" s="279">
        <v>8</v>
      </c>
      <c r="B17" s="282" t="s">
        <v>112</v>
      </c>
      <c r="C17" s="279">
        <f>30434-M17</f>
        <v>30257</v>
      </c>
      <c r="D17" s="279">
        <f>30420-M17</f>
        <v>30243</v>
      </c>
      <c r="E17" s="279">
        <v>27367</v>
      </c>
      <c r="F17" s="279">
        <v>475</v>
      </c>
      <c r="G17" s="315">
        <f t="shared" si="0"/>
        <v>0.9049036140594517</v>
      </c>
      <c r="H17" s="316">
        <v>14</v>
      </c>
      <c r="I17" s="252">
        <v>28270</v>
      </c>
      <c r="J17" s="355"/>
      <c r="K17" s="332"/>
      <c r="L17" s="332"/>
      <c r="M17" s="332">
        <v>177</v>
      </c>
      <c r="T17" s="252">
        <v>666</v>
      </c>
      <c r="U17" s="549">
        <f t="shared" si="1"/>
        <v>0.7132132132132132</v>
      </c>
      <c r="V17" s="251"/>
    </row>
    <row r="18" spans="1:21" s="251" customFormat="1" ht="24.75" customHeight="1">
      <c r="A18" s="278">
        <v>9</v>
      </c>
      <c r="B18" s="282" t="s">
        <v>113</v>
      </c>
      <c r="C18" s="278">
        <f>24704-M18</f>
        <v>24320</v>
      </c>
      <c r="D18" s="279">
        <f>24704-M18</f>
        <v>24320</v>
      </c>
      <c r="E18" s="279">
        <v>22934</v>
      </c>
      <c r="F18" s="279">
        <v>59</v>
      </c>
      <c r="G18" s="315">
        <f t="shared" si="0"/>
        <v>0.9430098684210526</v>
      </c>
      <c r="H18" s="316">
        <v>7</v>
      </c>
      <c r="I18" s="251">
        <v>22700</v>
      </c>
      <c r="J18" s="254"/>
      <c r="K18" s="329"/>
      <c r="L18" s="329"/>
      <c r="M18" s="329">
        <v>384</v>
      </c>
      <c r="T18" s="251">
        <v>208</v>
      </c>
      <c r="U18" s="549">
        <f t="shared" si="1"/>
        <v>0.28365384615384615</v>
      </c>
    </row>
    <row r="19" spans="1:22" s="252" customFormat="1" ht="24.75" customHeight="1">
      <c r="A19" s="279">
        <v>10</v>
      </c>
      <c r="B19" s="282" t="s">
        <v>114</v>
      </c>
      <c r="C19" s="279">
        <f>46017</f>
        <v>46017</v>
      </c>
      <c r="D19" s="279">
        <f>46205-K19</f>
        <v>45721</v>
      </c>
      <c r="E19" s="279">
        <v>44709</v>
      </c>
      <c r="F19" s="279">
        <v>40</v>
      </c>
      <c r="G19" s="315">
        <f t="shared" si="0"/>
        <v>0.9778657509678266</v>
      </c>
      <c r="H19" s="316">
        <v>2</v>
      </c>
      <c r="I19" s="252">
        <v>44470</v>
      </c>
      <c r="J19" s="355"/>
      <c r="K19" s="332">
        <v>484</v>
      </c>
      <c r="L19" s="332"/>
      <c r="M19" s="332"/>
      <c r="N19" s="637" t="s">
        <v>115</v>
      </c>
      <c r="T19" s="252">
        <v>109</v>
      </c>
      <c r="U19" s="549">
        <f t="shared" si="1"/>
        <v>0.3669724770642202</v>
      </c>
      <c r="V19" s="251"/>
    </row>
    <row r="20" spans="1:21" s="251" customFormat="1" ht="24.75" customHeight="1">
      <c r="A20" s="278">
        <v>11</v>
      </c>
      <c r="B20" s="282" t="s">
        <v>116</v>
      </c>
      <c r="C20" s="278">
        <f>D20+18+1</f>
        <v>19089</v>
      </c>
      <c r="D20" s="279">
        <f>20281-K20-L20-108-M20</f>
        <v>19070</v>
      </c>
      <c r="E20" s="279">
        <v>18167</v>
      </c>
      <c r="F20" s="279">
        <v>73</v>
      </c>
      <c r="G20" s="315">
        <f t="shared" si="0"/>
        <v>0.9526481384373361</v>
      </c>
      <c r="H20" s="316">
        <v>4</v>
      </c>
      <c r="I20" s="251">
        <v>17553</v>
      </c>
      <c r="J20" s="254"/>
      <c r="K20" s="329">
        <v>463</v>
      </c>
      <c r="L20" s="329">
        <v>247</v>
      </c>
      <c r="M20" s="329">
        <v>393</v>
      </c>
      <c r="T20" s="251">
        <v>504</v>
      </c>
      <c r="U20" s="549">
        <f t="shared" si="1"/>
        <v>0.14484126984126985</v>
      </c>
    </row>
    <row r="21" spans="1:21" s="251" customFormat="1" ht="24.75" customHeight="1">
      <c r="A21" s="278">
        <v>12</v>
      </c>
      <c r="B21" s="282" t="s">
        <v>117</v>
      </c>
      <c r="C21" s="278">
        <f>D21</f>
        <v>37940</v>
      </c>
      <c r="D21" s="279">
        <f>38642-579-M21</f>
        <v>37940</v>
      </c>
      <c r="E21" s="279">
        <v>36489</v>
      </c>
      <c r="F21" s="279">
        <v>250</v>
      </c>
      <c r="G21" s="315">
        <f t="shared" si="0"/>
        <v>0.9617554032683184</v>
      </c>
      <c r="H21" s="316">
        <v>3</v>
      </c>
      <c r="I21" s="251">
        <v>36486</v>
      </c>
      <c r="J21" s="254"/>
      <c r="K21" s="329">
        <v>579</v>
      </c>
      <c r="L21" s="329"/>
      <c r="M21" s="329">
        <v>123</v>
      </c>
      <c r="T21" s="251">
        <v>509</v>
      </c>
      <c r="U21" s="549">
        <f t="shared" si="1"/>
        <v>0.4911591355599214</v>
      </c>
    </row>
    <row r="22" spans="1:21" s="251" customFormat="1" ht="24.75" customHeight="1">
      <c r="A22" s="278">
        <v>13</v>
      </c>
      <c r="B22" s="282" t="s">
        <v>118</v>
      </c>
      <c r="C22" s="278">
        <v>29236</v>
      </c>
      <c r="D22" s="279">
        <v>29236</v>
      </c>
      <c r="E22" s="279">
        <v>27626</v>
      </c>
      <c r="F22" s="279">
        <v>477</v>
      </c>
      <c r="G22" s="315">
        <f t="shared" si="0"/>
        <v>0.9449309071008346</v>
      </c>
      <c r="H22" s="316">
        <v>8</v>
      </c>
      <c r="I22" s="251">
        <v>27663</v>
      </c>
      <c r="J22" s="254"/>
      <c r="K22" s="329"/>
      <c r="L22" s="329"/>
      <c r="M22" s="329"/>
      <c r="T22" s="251">
        <v>1049</v>
      </c>
      <c r="U22" s="549">
        <f t="shared" si="1"/>
        <v>0.4547187797902765</v>
      </c>
    </row>
    <row r="23" spans="1:21" s="251" customFormat="1" ht="24.75" customHeight="1">
      <c r="A23" s="624">
        <v>14</v>
      </c>
      <c r="B23" s="625" t="s">
        <v>119</v>
      </c>
      <c r="C23" s="624">
        <f>19614-1554-3-M23</f>
        <v>17857</v>
      </c>
      <c r="D23" s="626">
        <f>19565-1554-M23</f>
        <v>17811</v>
      </c>
      <c r="E23" s="626">
        <v>17483</v>
      </c>
      <c r="F23" s="626">
        <v>0</v>
      </c>
      <c r="G23" s="508">
        <f t="shared" si="0"/>
        <v>0.9815844141261019</v>
      </c>
      <c r="H23" s="632">
        <v>1</v>
      </c>
      <c r="I23" s="251">
        <v>17039</v>
      </c>
      <c r="J23" s="254"/>
      <c r="K23" s="329">
        <v>1554</v>
      </c>
      <c r="L23" s="329"/>
      <c r="M23" s="329">
        <v>200</v>
      </c>
      <c r="T23" s="251">
        <v>77</v>
      </c>
      <c r="U23" s="549">
        <f t="shared" si="1"/>
        <v>0</v>
      </c>
    </row>
    <row r="24" spans="1:13" s="251" customFormat="1" ht="1.5" customHeight="1">
      <c r="A24" s="624"/>
      <c r="B24" s="625"/>
      <c r="C24" s="624"/>
      <c r="D24" s="626"/>
      <c r="E24" s="626"/>
      <c r="F24" s="626"/>
      <c r="G24" s="508"/>
      <c r="H24" s="632"/>
      <c r="J24" s="254"/>
      <c r="K24" s="329"/>
      <c r="L24" s="329"/>
      <c r="M24" s="329"/>
    </row>
    <row r="25" spans="1:13" s="251" customFormat="1" ht="24.75" customHeight="1">
      <c r="A25" s="324">
        <v>15</v>
      </c>
      <c r="B25" s="277" t="s">
        <v>120</v>
      </c>
      <c r="C25" s="278">
        <v>2467</v>
      </c>
      <c r="D25" s="279">
        <v>2467</v>
      </c>
      <c r="E25" s="279">
        <f>1240+411</f>
        <v>1651</v>
      </c>
      <c r="F25" s="279"/>
      <c r="G25" s="315">
        <f>(E25/D25)</f>
        <v>0.6692338873125253</v>
      </c>
      <c r="H25" s="315"/>
      <c r="I25" s="251">
        <v>411</v>
      </c>
      <c r="K25" s="329"/>
      <c r="L25" s="329"/>
      <c r="M25" s="329"/>
    </row>
    <row r="26" spans="1:13" s="251" customFormat="1" ht="24.75" customHeight="1">
      <c r="A26" s="324">
        <v>16</v>
      </c>
      <c r="B26" s="277" t="s">
        <v>121</v>
      </c>
      <c r="C26" s="278">
        <v>247</v>
      </c>
      <c r="D26" s="279">
        <v>247</v>
      </c>
      <c r="E26" s="279">
        <v>247</v>
      </c>
      <c r="F26" s="279"/>
      <c r="G26" s="315">
        <f>(E26/D26)</f>
        <v>1</v>
      </c>
      <c r="H26" s="315"/>
      <c r="I26" s="251">
        <v>247</v>
      </c>
      <c r="K26" s="329"/>
      <c r="L26" s="329"/>
      <c r="M26" s="329"/>
    </row>
    <row r="27" spans="1:8" s="253" customFormat="1" ht="13.5">
      <c r="A27" s="298"/>
      <c r="B27" s="299"/>
      <c r="C27" s="627"/>
      <c r="D27" s="299"/>
      <c r="E27" s="299"/>
      <c r="F27" s="299"/>
      <c r="G27" s="299"/>
      <c r="H27" s="299"/>
    </row>
    <row r="28" spans="1:8" s="253" customFormat="1" ht="13.5">
      <c r="A28" s="298"/>
      <c r="B28" s="299"/>
      <c r="C28" s="299"/>
      <c r="D28" s="299"/>
      <c r="E28" s="299"/>
      <c r="F28" s="299"/>
      <c r="G28" s="299"/>
      <c r="H28" s="299"/>
    </row>
    <row r="29" spans="1:8" s="253" customFormat="1" ht="13.5">
      <c r="A29" s="300"/>
      <c r="B29" s="300"/>
      <c r="C29" s="300"/>
      <c r="D29" s="300"/>
      <c r="E29" s="300"/>
      <c r="F29" s="300"/>
      <c r="G29" s="300"/>
      <c r="H29" s="300"/>
    </row>
    <row r="30" spans="1:8" s="253" customFormat="1" ht="13.5">
      <c r="A30" s="299"/>
      <c r="B30" s="299"/>
      <c r="C30" s="299"/>
      <c r="D30" s="299"/>
      <c r="E30" s="299"/>
      <c r="F30" s="299"/>
      <c r="G30" s="299"/>
      <c r="H30" s="299"/>
    </row>
  </sheetData>
  <sheetProtection/>
  <mergeCells count="18">
    <mergeCell ref="A2:H2"/>
    <mergeCell ref="A3:H3"/>
    <mergeCell ref="C4:D4"/>
    <mergeCell ref="E4:F4"/>
    <mergeCell ref="A8:B8"/>
    <mergeCell ref="A9:B9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K4:K7"/>
    <mergeCell ref="L4:L7"/>
    <mergeCell ref="M4:M7"/>
  </mergeCells>
  <dataValidations count="1">
    <dataValidation allowBlank="1" showInputMessage="1" showErrorMessage="1" sqref="D10 D11 C15 C17 C24 D24 C10:C11 C21:C23 D12:D23"/>
  </dataValidations>
  <printOptions/>
  <pageMargins left="0.9840277777777777" right="0.39305555555555555" top="1" bottom="1.1020833333333333" header="0.5" footer="0.5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W42"/>
  <sheetViews>
    <sheetView zoomScale="55" zoomScaleNormal="55" zoomScaleSheetLayoutView="40" workbookViewId="0" topLeftCell="A1">
      <selection activeCell="A3" sqref="A3:O3"/>
    </sheetView>
  </sheetViews>
  <sheetFormatPr defaultColWidth="9.7109375" defaultRowHeight="15"/>
  <cols>
    <col min="1" max="1" width="23.00390625" style="23" customWidth="1"/>
    <col min="2" max="2" width="15.57421875" style="23" hidden="1" customWidth="1"/>
    <col min="3" max="3" width="26.28125" style="561" customWidth="1"/>
    <col min="4" max="4" width="30.8515625" style="561" customWidth="1"/>
    <col min="5" max="5" width="27.421875" style="561" customWidth="1"/>
    <col min="6" max="6" width="25.28125" style="561" customWidth="1"/>
    <col min="7" max="7" width="26.28125" style="561" customWidth="1"/>
    <col min="8" max="8" width="27.7109375" style="561" customWidth="1"/>
    <col min="9" max="9" width="24.7109375" style="561" customWidth="1"/>
    <col min="10" max="10" width="24.28125" style="561" customWidth="1"/>
    <col min="11" max="11" width="22.00390625" style="561" customWidth="1"/>
    <col min="12" max="12" width="28.00390625" style="23" customWidth="1"/>
    <col min="13" max="13" width="18.57421875" style="23" hidden="1" customWidth="1"/>
    <col min="14" max="14" width="17.421875" style="23" hidden="1" customWidth="1"/>
    <col min="15" max="15" width="19.421875" style="23" hidden="1" customWidth="1"/>
    <col min="16" max="27" width="9.7109375" style="23" customWidth="1"/>
    <col min="28" max="28" width="11.140625" style="23" bestFit="1" customWidth="1"/>
    <col min="29" max="176" width="9.7109375" style="23" customWidth="1"/>
    <col min="177" max="207" width="10.00390625" style="23" bestFit="1" customWidth="1"/>
    <col min="208" max="236" width="9.7109375" style="23" customWidth="1"/>
    <col min="237" max="16384" width="9.7109375" style="562" customWidth="1"/>
  </cols>
  <sheetData>
    <row r="1" ht="36" customHeight="1">
      <c r="A1" s="563" t="s">
        <v>122</v>
      </c>
    </row>
    <row r="2" spans="1:15" s="556" customFormat="1" ht="69" customHeight="1">
      <c r="A2" s="564" t="s">
        <v>123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s="556" customFormat="1" ht="42.75" customHeight="1">
      <c r="A3" s="565" t="s">
        <v>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1:15" s="556" customFormat="1" ht="15" customHeight="1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s="556" customFormat="1" ht="60" customHeight="1">
      <c r="A5" s="566" t="s">
        <v>3</v>
      </c>
      <c r="B5" s="567" t="s">
        <v>124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98" t="s">
        <v>125</v>
      </c>
      <c r="N5" s="598"/>
      <c r="O5" s="598"/>
    </row>
    <row r="6" spans="1:15" s="556" customFormat="1" ht="45.75" customHeight="1">
      <c r="A6" s="568"/>
      <c r="B6" s="569" t="s">
        <v>126</v>
      </c>
      <c r="C6" s="570"/>
      <c r="D6" s="570"/>
      <c r="E6" s="570"/>
      <c r="F6" s="570"/>
      <c r="G6" s="570"/>
      <c r="H6" s="570"/>
      <c r="I6" s="592"/>
      <c r="J6" s="567" t="s">
        <v>127</v>
      </c>
      <c r="K6" s="567" t="s">
        <v>128</v>
      </c>
      <c r="L6" s="567" t="s">
        <v>129</v>
      </c>
      <c r="M6" s="599" t="s">
        <v>130</v>
      </c>
      <c r="N6" s="600" t="s">
        <v>131</v>
      </c>
      <c r="O6" s="601" t="s">
        <v>132</v>
      </c>
    </row>
    <row r="7" spans="1:15" s="556" customFormat="1" ht="30.75" customHeight="1">
      <c r="A7" s="568"/>
      <c r="B7" s="571" t="s">
        <v>133</v>
      </c>
      <c r="C7" s="572" t="s">
        <v>131</v>
      </c>
      <c r="D7" s="570"/>
      <c r="E7" s="570"/>
      <c r="F7" s="570"/>
      <c r="G7" s="570"/>
      <c r="H7" s="570"/>
      <c r="I7" s="592"/>
      <c r="J7" s="567"/>
      <c r="K7" s="567"/>
      <c r="L7" s="567"/>
      <c r="M7" s="599"/>
      <c r="N7" s="600"/>
      <c r="O7" s="602"/>
    </row>
    <row r="8" spans="1:15" s="556" customFormat="1" ht="69" customHeight="1">
      <c r="A8" s="573"/>
      <c r="B8" s="574"/>
      <c r="C8" s="575"/>
      <c r="D8" s="576" t="s">
        <v>134</v>
      </c>
      <c r="E8" s="576" t="s">
        <v>135</v>
      </c>
      <c r="F8" s="243" t="s">
        <v>136</v>
      </c>
      <c r="G8" s="576" t="s">
        <v>135</v>
      </c>
      <c r="H8" s="576" t="s">
        <v>137</v>
      </c>
      <c r="I8" s="576" t="s">
        <v>135</v>
      </c>
      <c r="J8" s="567"/>
      <c r="K8" s="567"/>
      <c r="L8" s="567"/>
      <c r="M8" s="599"/>
      <c r="N8" s="600"/>
      <c r="O8" s="603"/>
    </row>
    <row r="9" spans="1:15" s="557" customFormat="1" ht="42.75" customHeight="1">
      <c r="A9" s="577" t="s">
        <v>15</v>
      </c>
      <c r="B9" s="578">
        <v>1</v>
      </c>
      <c r="C9" s="578" t="s">
        <v>138</v>
      </c>
      <c r="D9" s="578">
        <v>2</v>
      </c>
      <c r="E9" s="578" t="s">
        <v>16</v>
      </c>
      <c r="F9" s="578">
        <v>4</v>
      </c>
      <c r="G9" s="578" t="s">
        <v>139</v>
      </c>
      <c r="H9" s="578">
        <v>6</v>
      </c>
      <c r="I9" s="578" t="s">
        <v>140</v>
      </c>
      <c r="J9" s="578">
        <v>8</v>
      </c>
      <c r="K9" s="578" t="s">
        <v>141</v>
      </c>
      <c r="L9" s="578">
        <v>10</v>
      </c>
      <c r="M9" s="578">
        <v>12</v>
      </c>
      <c r="N9" s="578">
        <v>13</v>
      </c>
      <c r="O9" s="578" t="s">
        <v>142</v>
      </c>
    </row>
    <row r="10" spans="1:15" s="557" customFormat="1" ht="42" customHeight="1">
      <c r="A10" s="579" t="s">
        <v>20</v>
      </c>
      <c r="B10" s="580">
        <f aca="true" t="shared" si="0" ref="B10:F10">SUM(B11:B25)</f>
        <v>0</v>
      </c>
      <c r="C10" s="580">
        <f t="shared" si="0"/>
        <v>62000</v>
      </c>
      <c r="D10" s="580">
        <f t="shared" si="0"/>
        <v>56377</v>
      </c>
      <c r="E10" s="589">
        <f>D10/C10</f>
        <v>0.9093064516129032</v>
      </c>
      <c r="F10" s="580">
        <f t="shared" si="0"/>
        <v>2671</v>
      </c>
      <c r="G10" s="589">
        <f>F10/C10</f>
        <v>0.04308064516129032</v>
      </c>
      <c r="H10" s="580">
        <f>SUM(H11:H25)</f>
        <v>2952</v>
      </c>
      <c r="I10" s="589">
        <f>H10/C10</f>
        <v>0.047612903225806455</v>
      </c>
      <c r="J10" s="580">
        <f>SUM(J11:J25)</f>
        <v>27706</v>
      </c>
      <c r="K10" s="593">
        <f>J10/C10</f>
        <v>0.44687096774193547</v>
      </c>
      <c r="L10" s="594">
        <f>SUM(L11:L25)</f>
        <v>14.923262807999999</v>
      </c>
      <c r="M10" s="604">
        <f>SUM(M11:M25)</f>
        <v>0</v>
      </c>
      <c r="N10" s="604">
        <f>SUM(N11:N25)</f>
        <v>0</v>
      </c>
      <c r="O10" s="605">
        <f>N10/C10</f>
        <v>0</v>
      </c>
    </row>
    <row r="11" spans="1:22" s="558" customFormat="1" ht="42" customHeight="1">
      <c r="A11" s="577" t="s">
        <v>22</v>
      </c>
      <c r="B11" s="581"/>
      <c r="C11" s="582">
        <f>D11+F11+H11</f>
        <v>16000</v>
      </c>
      <c r="D11" s="581">
        <v>13914</v>
      </c>
      <c r="E11" s="590">
        <f>D11/C11</f>
        <v>0.869625</v>
      </c>
      <c r="F11" s="591">
        <v>405</v>
      </c>
      <c r="G11" s="590">
        <f>F11/C11</f>
        <v>0.0253125</v>
      </c>
      <c r="H11" s="581">
        <v>1681</v>
      </c>
      <c r="I11" s="590">
        <f>H11/C11</f>
        <v>0.1050625</v>
      </c>
      <c r="J11" s="582">
        <v>6299</v>
      </c>
      <c r="K11" s="595">
        <f>J11/C11</f>
        <v>0.3936875</v>
      </c>
      <c r="L11" s="596">
        <v>3.713224</v>
      </c>
      <c r="M11" s="606"/>
      <c r="N11" s="606"/>
      <c r="O11" s="607">
        <f>N11/C11</f>
        <v>0</v>
      </c>
      <c r="V11" s="609"/>
    </row>
    <row r="12" spans="1:23" s="558" customFormat="1" ht="42" customHeight="1">
      <c r="A12" s="577" t="s">
        <v>23</v>
      </c>
      <c r="B12" s="581"/>
      <c r="C12" s="582">
        <f aca="true" t="shared" si="1" ref="C12:C25">D12+F12+H12</f>
        <v>3000</v>
      </c>
      <c r="D12" s="581">
        <v>3000</v>
      </c>
      <c r="E12" s="590">
        <f aca="true" t="shared" si="2" ref="E12:E25">D12/C12</f>
        <v>1</v>
      </c>
      <c r="F12" s="581"/>
      <c r="G12" s="590"/>
      <c r="H12" s="581"/>
      <c r="I12" s="590"/>
      <c r="J12" s="582">
        <v>733</v>
      </c>
      <c r="K12" s="595">
        <f>J12/C12</f>
        <v>0.24433333333333335</v>
      </c>
      <c r="L12" s="596">
        <v>4.0528</v>
      </c>
      <c r="M12" s="606"/>
      <c r="N12" s="606"/>
      <c r="O12" s="607">
        <f aca="true" t="shared" si="3" ref="O12:O25">N12/C12</f>
        <v>0</v>
      </c>
      <c r="V12" s="610"/>
      <c r="W12" s="611"/>
    </row>
    <row r="13" spans="1:23" s="558" customFormat="1" ht="42" customHeight="1">
      <c r="A13" s="577" t="s">
        <v>24</v>
      </c>
      <c r="B13" s="581"/>
      <c r="C13" s="582">
        <f t="shared" si="1"/>
        <v>14000</v>
      </c>
      <c r="D13" s="581">
        <v>13432</v>
      </c>
      <c r="E13" s="590">
        <f t="shared" si="2"/>
        <v>0.9594285714285714</v>
      </c>
      <c r="F13" s="581">
        <v>568</v>
      </c>
      <c r="G13" s="590">
        <f>F13/C13</f>
        <v>0.04057142857142857</v>
      </c>
      <c r="H13" s="581"/>
      <c r="I13" s="590"/>
      <c r="J13" s="582">
        <v>4273</v>
      </c>
      <c r="K13" s="595">
        <f>J13/C13</f>
        <v>0.3052142857142857</v>
      </c>
      <c r="L13" s="596">
        <v>1.855174</v>
      </c>
      <c r="M13" s="606"/>
      <c r="N13" s="606"/>
      <c r="O13" s="607">
        <f t="shared" si="3"/>
        <v>0</v>
      </c>
      <c r="V13" s="612"/>
      <c r="W13" s="611"/>
    </row>
    <row r="14" spans="1:23" s="558" customFormat="1" ht="42" customHeight="1">
      <c r="A14" s="577" t="s">
        <v>25</v>
      </c>
      <c r="B14" s="581"/>
      <c r="C14" s="582">
        <f t="shared" si="1"/>
        <v>1375</v>
      </c>
      <c r="D14" s="581">
        <v>1375</v>
      </c>
      <c r="E14" s="590">
        <f t="shared" si="2"/>
        <v>1</v>
      </c>
      <c r="F14" s="581"/>
      <c r="G14" s="590"/>
      <c r="H14" s="581"/>
      <c r="I14" s="590"/>
      <c r="J14" s="582">
        <v>700</v>
      </c>
      <c r="K14" s="595">
        <f>J14/C14</f>
        <v>0.509090909090909</v>
      </c>
      <c r="L14" s="596">
        <v>0.1337</v>
      </c>
      <c r="M14" s="606"/>
      <c r="N14" s="606"/>
      <c r="O14" s="607">
        <f t="shared" si="3"/>
        <v>0</v>
      </c>
      <c r="V14" s="611"/>
      <c r="W14" s="611"/>
    </row>
    <row r="15" spans="1:15" s="558" customFormat="1" ht="42" customHeight="1">
      <c r="A15" s="577" t="s">
        <v>26</v>
      </c>
      <c r="B15" s="581"/>
      <c r="C15" s="582">
        <f t="shared" si="1"/>
        <v>1878</v>
      </c>
      <c r="D15" s="581">
        <v>1794</v>
      </c>
      <c r="E15" s="590">
        <f t="shared" si="2"/>
        <v>0.9552715654952076</v>
      </c>
      <c r="F15" s="581"/>
      <c r="G15" s="590"/>
      <c r="H15" s="581">
        <v>84</v>
      </c>
      <c r="I15" s="590">
        <f>H15/C15</f>
        <v>0.04472843450479233</v>
      </c>
      <c r="J15" s="582">
        <v>1245</v>
      </c>
      <c r="K15" s="595">
        <f aca="true" t="shared" si="4" ref="K15:K25">J15/C15</f>
        <v>0.6629392971246006</v>
      </c>
      <c r="L15" s="596">
        <v>0.33311771</v>
      </c>
      <c r="M15" s="606"/>
      <c r="N15" s="606"/>
      <c r="O15" s="607">
        <f t="shared" si="3"/>
        <v>0</v>
      </c>
    </row>
    <row r="16" spans="1:15" s="558" customFormat="1" ht="42" customHeight="1">
      <c r="A16" s="577" t="s">
        <v>27</v>
      </c>
      <c r="B16" s="581"/>
      <c r="C16" s="582">
        <f t="shared" si="1"/>
        <v>1851</v>
      </c>
      <c r="D16" s="581">
        <v>1851</v>
      </c>
      <c r="E16" s="590">
        <f t="shared" si="2"/>
        <v>1</v>
      </c>
      <c r="F16" s="581"/>
      <c r="G16" s="590"/>
      <c r="H16" s="581"/>
      <c r="I16" s="590"/>
      <c r="J16" s="582">
        <v>296</v>
      </c>
      <c r="K16" s="595">
        <f t="shared" si="4"/>
        <v>0.15991356023770933</v>
      </c>
      <c r="L16" s="596">
        <v>0.40847</v>
      </c>
      <c r="M16" s="606"/>
      <c r="N16" s="606"/>
      <c r="O16" s="607">
        <f t="shared" si="3"/>
        <v>0</v>
      </c>
    </row>
    <row r="17" spans="1:15" s="558" customFormat="1" ht="42" customHeight="1">
      <c r="A17" s="577" t="s">
        <v>28</v>
      </c>
      <c r="B17" s="581"/>
      <c r="C17" s="582">
        <f t="shared" si="1"/>
        <v>4353</v>
      </c>
      <c r="D17" s="581">
        <v>4353</v>
      </c>
      <c r="E17" s="590">
        <f t="shared" si="2"/>
        <v>1</v>
      </c>
      <c r="F17" s="581"/>
      <c r="G17" s="590"/>
      <c r="H17" s="581"/>
      <c r="I17" s="590"/>
      <c r="J17" s="582">
        <v>1761</v>
      </c>
      <c r="K17" s="595">
        <f t="shared" si="4"/>
        <v>0.4045485871812543</v>
      </c>
      <c r="L17" s="596">
        <v>0.244296</v>
      </c>
      <c r="M17" s="606"/>
      <c r="N17" s="606"/>
      <c r="O17" s="607">
        <f t="shared" si="3"/>
        <v>0</v>
      </c>
    </row>
    <row r="18" spans="1:21" s="559" customFormat="1" ht="42" customHeight="1">
      <c r="A18" s="577" t="s">
        <v>29</v>
      </c>
      <c r="B18" s="581"/>
      <c r="C18" s="582">
        <f t="shared" si="1"/>
        <v>6692</v>
      </c>
      <c r="D18" s="581">
        <v>5082</v>
      </c>
      <c r="E18" s="590">
        <f t="shared" si="2"/>
        <v>0.7594142259414226</v>
      </c>
      <c r="F18" s="581">
        <v>1610</v>
      </c>
      <c r="G18" s="590">
        <f>F18/C18</f>
        <v>0.2405857740585774</v>
      </c>
      <c r="H18" s="581"/>
      <c r="I18" s="590"/>
      <c r="J18" s="582">
        <v>5913</v>
      </c>
      <c r="K18" s="595">
        <f t="shared" si="4"/>
        <v>0.8835923490735206</v>
      </c>
      <c r="L18" s="596">
        <v>0.324318</v>
      </c>
      <c r="M18" s="606"/>
      <c r="N18" s="606"/>
      <c r="O18" s="607">
        <f t="shared" si="3"/>
        <v>0</v>
      </c>
      <c r="U18" s="558"/>
    </row>
    <row r="19" spans="1:15" s="558" customFormat="1" ht="42" customHeight="1">
      <c r="A19" s="577" t="s">
        <v>30</v>
      </c>
      <c r="B19" s="581"/>
      <c r="C19" s="582">
        <f t="shared" si="1"/>
        <v>2195</v>
      </c>
      <c r="D19" s="581">
        <v>2059</v>
      </c>
      <c r="E19" s="590">
        <f t="shared" si="2"/>
        <v>0.9380410022779043</v>
      </c>
      <c r="F19" s="581">
        <v>88</v>
      </c>
      <c r="G19" s="590">
        <f>F19/C19</f>
        <v>0.04009111617312073</v>
      </c>
      <c r="H19" s="581">
        <v>48</v>
      </c>
      <c r="I19" s="590">
        <f>H19/C19</f>
        <v>0.021867881548974944</v>
      </c>
      <c r="J19" s="581">
        <v>805</v>
      </c>
      <c r="K19" s="595">
        <f t="shared" si="4"/>
        <v>0.36674259681093396</v>
      </c>
      <c r="L19" s="596">
        <v>2.933</v>
      </c>
      <c r="M19" s="606"/>
      <c r="N19" s="606"/>
      <c r="O19" s="607">
        <f t="shared" si="3"/>
        <v>0</v>
      </c>
    </row>
    <row r="20" spans="1:15" s="558" customFormat="1" ht="42" customHeight="1">
      <c r="A20" s="577" t="s">
        <v>31</v>
      </c>
      <c r="B20" s="581"/>
      <c r="C20" s="582">
        <f t="shared" si="1"/>
        <v>1460</v>
      </c>
      <c r="D20" s="581">
        <v>1460</v>
      </c>
      <c r="E20" s="590">
        <f t="shared" si="2"/>
        <v>1</v>
      </c>
      <c r="F20" s="581"/>
      <c r="G20" s="590"/>
      <c r="H20" s="581"/>
      <c r="I20" s="590"/>
      <c r="J20" s="581">
        <v>1093</v>
      </c>
      <c r="K20" s="595">
        <f t="shared" si="4"/>
        <v>0.7486301369863013</v>
      </c>
      <c r="L20" s="596">
        <v>0.2215</v>
      </c>
      <c r="M20" s="606"/>
      <c r="N20" s="606"/>
      <c r="O20" s="607">
        <f t="shared" si="3"/>
        <v>0</v>
      </c>
    </row>
    <row r="21" spans="1:15" s="558" customFormat="1" ht="42" customHeight="1">
      <c r="A21" s="577" t="s">
        <v>32</v>
      </c>
      <c r="B21" s="581"/>
      <c r="C21" s="582">
        <f t="shared" si="1"/>
        <v>1450</v>
      </c>
      <c r="D21" s="581">
        <v>960</v>
      </c>
      <c r="E21" s="590">
        <f t="shared" si="2"/>
        <v>0.6620689655172414</v>
      </c>
      <c r="F21" s="581"/>
      <c r="G21" s="590"/>
      <c r="H21" s="581">
        <v>490</v>
      </c>
      <c r="I21" s="590">
        <f>H21/C21</f>
        <v>0.33793103448275863</v>
      </c>
      <c r="J21" s="581">
        <v>1846</v>
      </c>
      <c r="K21" s="595">
        <f t="shared" si="4"/>
        <v>1.273103448275862</v>
      </c>
      <c r="L21" s="596">
        <v>0.04</v>
      </c>
      <c r="M21" s="606"/>
      <c r="N21" s="606"/>
      <c r="O21" s="607">
        <f t="shared" si="3"/>
        <v>0</v>
      </c>
    </row>
    <row r="22" spans="1:15" s="558" customFormat="1" ht="42" customHeight="1">
      <c r="A22" s="577" t="s">
        <v>33</v>
      </c>
      <c r="B22" s="581"/>
      <c r="C22" s="582">
        <f t="shared" si="1"/>
        <v>2790</v>
      </c>
      <c r="D22" s="581">
        <v>2790</v>
      </c>
      <c r="E22" s="590">
        <f t="shared" si="2"/>
        <v>1</v>
      </c>
      <c r="F22" s="581"/>
      <c r="G22" s="590"/>
      <c r="H22" s="581"/>
      <c r="I22" s="590"/>
      <c r="J22" s="581">
        <v>96</v>
      </c>
      <c r="K22" s="595">
        <f t="shared" si="4"/>
        <v>0.034408602150537634</v>
      </c>
      <c r="L22" s="596">
        <v>0.151667098</v>
      </c>
      <c r="M22" s="606"/>
      <c r="N22" s="606"/>
      <c r="O22" s="607">
        <f t="shared" si="3"/>
        <v>0</v>
      </c>
    </row>
    <row r="23" spans="1:15" s="558" customFormat="1" ht="42" customHeight="1">
      <c r="A23" s="577" t="s">
        <v>34</v>
      </c>
      <c r="B23" s="583"/>
      <c r="C23" s="582">
        <f t="shared" si="1"/>
        <v>1589</v>
      </c>
      <c r="D23" s="581">
        <v>1589</v>
      </c>
      <c r="E23" s="590">
        <f t="shared" si="2"/>
        <v>1</v>
      </c>
      <c r="F23" s="581"/>
      <c r="G23" s="590"/>
      <c r="H23" s="581"/>
      <c r="I23" s="590"/>
      <c r="J23" s="581">
        <v>644</v>
      </c>
      <c r="K23" s="595">
        <f t="shared" si="4"/>
        <v>0.4052863436123348</v>
      </c>
      <c r="L23" s="596">
        <v>0.17</v>
      </c>
      <c r="M23" s="606"/>
      <c r="N23" s="606"/>
      <c r="O23" s="607">
        <f t="shared" si="3"/>
        <v>0</v>
      </c>
    </row>
    <row r="24" spans="1:15" s="558" customFormat="1" ht="42" customHeight="1">
      <c r="A24" s="577" t="s">
        <v>35</v>
      </c>
      <c r="B24" s="583"/>
      <c r="C24" s="582">
        <f t="shared" si="1"/>
        <v>1631</v>
      </c>
      <c r="D24" s="581">
        <v>982</v>
      </c>
      <c r="E24" s="590">
        <f t="shared" si="2"/>
        <v>0.6020846106683017</v>
      </c>
      <c r="F24" s="581"/>
      <c r="G24" s="590"/>
      <c r="H24" s="581">
        <v>649</v>
      </c>
      <c r="I24" s="590">
        <f>H24/C24</f>
        <v>0.39791538933169834</v>
      </c>
      <c r="J24" s="581">
        <v>1102</v>
      </c>
      <c r="K24" s="595">
        <f t="shared" si="4"/>
        <v>0.6756591048436542</v>
      </c>
      <c r="L24" s="596">
        <v>0.341996</v>
      </c>
      <c r="M24" s="606"/>
      <c r="N24" s="606"/>
      <c r="O24" s="607">
        <f t="shared" si="3"/>
        <v>0</v>
      </c>
    </row>
    <row r="25" spans="1:15" s="558" customFormat="1" ht="57.75" customHeight="1">
      <c r="A25" s="584" t="s">
        <v>36</v>
      </c>
      <c r="B25" s="585"/>
      <c r="C25" s="582">
        <f t="shared" si="1"/>
        <v>1736</v>
      </c>
      <c r="D25" s="586">
        <v>1736</v>
      </c>
      <c r="E25" s="590">
        <f t="shared" si="2"/>
        <v>1</v>
      </c>
      <c r="F25" s="586"/>
      <c r="G25" s="590"/>
      <c r="H25" s="586"/>
      <c r="I25" s="586"/>
      <c r="J25" s="586">
        <v>900</v>
      </c>
      <c r="K25" s="595">
        <f t="shared" si="4"/>
        <v>0.5184331797235023</v>
      </c>
      <c r="L25" s="597" t="s">
        <v>143</v>
      </c>
      <c r="M25" s="608"/>
      <c r="N25" s="608"/>
      <c r="O25" s="607">
        <f t="shared" si="3"/>
        <v>0</v>
      </c>
    </row>
    <row r="26" spans="1:15" s="560" customFormat="1" ht="55.5" customHeight="1">
      <c r="A26" s="587"/>
      <c r="B26" s="587"/>
      <c r="C26" s="587"/>
      <c r="D26" s="587"/>
      <c r="E26" s="587"/>
      <c r="F26" s="587"/>
      <c r="G26" s="587"/>
      <c r="H26" s="587"/>
      <c r="I26" s="587"/>
      <c r="J26" s="587"/>
      <c r="K26" s="587"/>
      <c r="L26" s="587"/>
      <c r="M26" s="587"/>
      <c r="N26" s="587"/>
      <c r="O26" s="587"/>
    </row>
    <row r="27" spans="1:11" s="560" customFormat="1" ht="15.75">
      <c r="A27" s="23"/>
      <c r="B27" s="23"/>
      <c r="C27" s="588"/>
      <c r="D27" s="588"/>
      <c r="E27" s="588"/>
      <c r="F27" s="588"/>
      <c r="G27" s="588"/>
      <c r="H27" s="588"/>
      <c r="I27" s="588"/>
      <c r="J27" s="588"/>
      <c r="K27" s="588"/>
    </row>
    <row r="28" spans="1:11" s="560" customFormat="1" ht="15.75">
      <c r="A28" s="23"/>
      <c r="B28" s="23"/>
      <c r="C28" s="588"/>
      <c r="D28" s="588"/>
      <c r="E28" s="588"/>
      <c r="F28" s="588"/>
      <c r="G28" s="588"/>
      <c r="H28" s="588"/>
      <c r="I28" s="588"/>
      <c r="J28" s="588"/>
      <c r="K28" s="588"/>
    </row>
    <row r="29" spans="1:15" s="560" customFormat="1" ht="60" customHeight="1">
      <c r="A29" s="23"/>
      <c r="B29" s="23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</row>
    <row r="30" spans="1:11" s="560" customFormat="1" ht="90" customHeight="1">
      <c r="A30" s="23"/>
      <c r="B30" s="23"/>
      <c r="C30" s="588"/>
      <c r="D30" s="588"/>
      <c r="E30" s="588"/>
      <c r="F30" s="588"/>
      <c r="G30" s="588"/>
      <c r="H30" s="588"/>
      <c r="I30" s="588"/>
      <c r="J30" s="588"/>
      <c r="K30" s="588"/>
    </row>
    <row r="31" spans="1:11" s="560" customFormat="1" ht="15.75">
      <c r="A31" s="23"/>
      <c r="B31" s="23"/>
      <c r="C31" s="588"/>
      <c r="D31" s="588"/>
      <c r="E31" s="588"/>
      <c r="F31" s="588"/>
      <c r="G31" s="588"/>
      <c r="H31" s="588"/>
      <c r="I31" s="588"/>
      <c r="J31" s="588"/>
      <c r="K31" s="588"/>
    </row>
    <row r="32" spans="1:11" s="560" customFormat="1" ht="15.75">
      <c r="A32" s="23"/>
      <c r="B32" s="23"/>
      <c r="C32" s="588"/>
      <c r="D32" s="588"/>
      <c r="E32" s="588"/>
      <c r="F32" s="588"/>
      <c r="G32" s="588"/>
      <c r="H32" s="588"/>
      <c r="I32" s="588"/>
      <c r="J32" s="588"/>
      <c r="K32" s="588"/>
    </row>
    <row r="33" spans="1:11" s="560" customFormat="1" ht="15.75">
      <c r="A33" s="23"/>
      <c r="B33" s="23"/>
      <c r="C33" s="588"/>
      <c r="D33" s="588"/>
      <c r="E33" s="588"/>
      <c r="F33" s="588"/>
      <c r="G33" s="588"/>
      <c r="H33" s="588"/>
      <c r="I33" s="588"/>
      <c r="J33" s="588"/>
      <c r="K33" s="588"/>
    </row>
    <row r="34" spans="1:11" s="560" customFormat="1" ht="15.75">
      <c r="A34" s="23"/>
      <c r="B34" s="23"/>
      <c r="C34" s="588"/>
      <c r="D34" s="588"/>
      <c r="E34" s="588"/>
      <c r="F34" s="588"/>
      <c r="G34" s="588"/>
      <c r="H34" s="588"/>
      <c r="I34" s="588"/>
      <c r="J34" s="588"/>
      <c r="K34" s="588"/>
    </row>
    <row r="35" spans="1:11" s="560" customFormat="1" ht="15.75">
      <c r="A35" s="23"/>
      <c r="B35" s="23"/>
      <c r="C35" s="588"/>
      <c r="D35" s="588"/>
      <c r="E35" s="588"/>
      <c r="F35" s="588"/>
      <c r="G35" s="588"/>
      <c r="H35" s="588"/>
      <c r="I35" s="588"/>
      <c r="J35" s="588"/>
      <c r="K35" s="588"/>
    </row>
    <row r="36" spans="1:11" s="560" customFormat="1" ht="15.75">
      <c r="A36" s="23"/>
      <c r="B36" s="23"/>
      <c r="C36" s="588"/>
      <c r="D36" s="588"/>
      <c r="E36" s="588"/>
      <c r="F36" s="588"/>
      <c r="G36" s="588"/>
      <c r="H36" s="588"/>
      <c r="I36" s="588"/>
      <c r="J36" s="588"/>
      <c r="K36" s="588"/>
    </row>
    <row r="37" spans="1:11" s="560" customFormat="1" ht="15.75">
      <c r="A37" s="23"/>
      <c r="B37" s="23"/>
      <c r="C37" s="588"/>
      <c r="D37" s="588"/>
      <c r="E37" s="588"/>
      <c r="F37" s="588"/>
      <c r="G37" s="588"/>
      <c r="H37" s="588"/>
      <c r="I37" s="588"/>
      <c r="J37" s="588"/>
      <c r="K37" s="588"/>
    </row>
    <row r="38" spans="1:11" s="560" customFormat="1" ht="15.75">
      <c r="A38" s="23"/>
      <c r="B38" s="23"/>
      <c r="C38" s="561"/>
      <c r="D38" s="561"/>
      <c r="E38" s="561"/>
      <c r="F38" s="561"/>
      <c r="G38" s="561"/>
      <c r="H38" s="561"/>
      <c r="I38" s="561"/>
      <c r="J38" s="561"/>
      <c r="K38" s="561"/>
    </row>
    <row r="39" spans="1:11" s="560" customFormat="1" ht="15.75">
      <c r="A39" s="23"/>
      <c r="B39" s="23"/>
      <c r="C39" s="561"/>
      <c r="D39" s="561"/>
      <c r="E39" s="561"/>
      <c r="F39" s="561"/>
      <c r="G39" s="561"/>
      <c r="H39" s="561"/>
      <c r="I39" s="561"/>
      <c r="J39" s="561"/>
      <c r="K39" s="561"/>
    </row>
    <row r="40" spans="1:11" s="560" customFormat="1" ht="15.75">
      <c r="A40" s="23"/>
      <c r="B40" s="23"/>
      <c r="C40" s="561"/>
      <c r="D40" s="561"/>
      <c r="E40" s="561"/>
      <c r="F40" s="561"/>
      <c r="G40" s="561"/>
      <c r="H40" s="561"/>
      <c r="I40" s="561"/>
      <c r="J40" s="561"/>
      <c r="K40" s="561"/>
    </row>
    <row r="41" spans="1:11" s="560" customFormat="1" ht="15.75">
      <c r="A41" s="23"/>
      <c r="B41" s="23"/>
      <c r="C41" s="561"/>
      <c r="D41" s="561"/>
      <c r="E41" s="561"/>
      <c r="F41" s="561"/>
      <c r="G41" s="561"/>
      <c r="H41" s="561"/>
      <c r="I41" s="561"/>
      <c r="J41" s="561"/>
      <c r="K41" s="561"/>
    </row>
    <row r="42" spans="1:11" s="560" customFormat="1" ht="15.75">
      <c r="A42" s="23"/>
      <c r="B42" s="23"/>
      <c r="C42" s="561"/>
      <c r="D42" s="561"/>
      <c r="E42" s="561"/>
      <c r="F42" s="561"/>
      <c r="G42" s="561"/>
      <c r="H42" s="561"/>
      <c r="I42" s="561"/>
      <c r="J42" s="561"/>
      <c r="K42" s="561"/>
    </row>
  </sheetData>
  <sheetProtection/>
  <mergeCells count="16">
    <mergeCell ref="A2:O2"/>
    <mergeCell ref="A3:O3"/>
    <mergeCell ref="A4:O4"/>
    <mergeCell ref="B5:L5"/>
    <mergeCell ref="M5:O5"/>
    <mergeCell ref="B6:I6"/>
    <mergeCell ref="A26:O26"/>
    <mergeCell ref="A5:A8"/>
    <mergeCell ref="B7:B8"/>
    <mergeCell ref="C7:C8"/>
    <mergeCell ref="J6:J8"/>
    <mergeCell ref="K6:K8"/>
    <mergeCell ref="L6:L8"/>
    <mergeCell ref="M6:M8"/>
    <mergeCell ref="N6:N8"/>
    <mergeCell ref="O6:O8"/>
  </mergeCells>
  <printOptions horizontalCentered="1"/>
  <pageMargins left="0.4722222222222222" right="0.4722222222222222" top="0.39305555555555555" bottom="0.19652777777777777" header="0.35" footer="0.5118055555555555"/>
  <pageSetup fitToHeight="1" fitToWidth="1" horizontalDpi="600" verticalDpi="600" orientation="landscape" paperSize="9" scale="4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U32"/>
  <sheetViews>
    <sheetView zoomScale="85" zoomScaleNormal="85" zoomScaleSheetLayoutView="100" workbookViewId="0" topLeftCell="B3">
      <selection activeCell="H13" sqref="H13"/>
    </sheetView>
  </sheetViews>
  <sheetFormatPr defaultColWidth="9.00390625" defaultRowHeight="15"/>
  <cols>
    <col min="1" max="1" width="5.28125" style="254" hidden="1" customWidth="1"/>
    <col min="2" max="2" width="11.7109375" style="254" customWidth="1"/>
    <col min="3" max="3" width="14.421875" style="254" customWidth="1"/>
    <col min="4" max="4" width="17.28125" style="254" customWidth="1"/>
    <col min="5" max="5" width="20.421875" style="254" hidden="1" customWidth="1"/>
    <col min="6" max="6" width="16.140625" style="254" customWidth="1"/>
    <col min="7" max="7" width="16.57421875" style="254" customWidth="1"/>
    <col min="8" max="8" width="15.8515625" style="254" customWidth="1"/>
    <col min="9" max="14" width="11.140625" style="254" hidden="1" customWidth="1"/>
    <col min="15" max="15" width="26.57421875" style="254" hidden="1" customWidth="1"/>
    <col min="16" max="21" width="11.140625" style="254" hidden="1" customWidth="1"/>
    <col min="22" max="22" width="13.8515625" style="254" hidden="1" customWidth="1"/>
    <col min="23" max="23" width="14.421875" style="254" hidden="1" customWidth="1"/>
    <col min="24" max="24" width="9.140625" style="254" hidden="1" customWidth="1"/>
    <col min="25" max="25" width="14.00390625" style="254" customWidth="1"/>
    <col min="26" max="32" width="11.140625" style="254" customWidth="1"/>
    <col min="33" max="16384" width="9.00390625" style="254" customWidth="1"/>
  </cols>
  <sheetData>
    <row r="1" spans="1:9" s="250" customFormat="1" ht="26.25">
      <c r="A1" s="255" t="s">
        <v>85</v>
      </c>
      <c r="B1" s="256" t="s">
        <v>144</v>
      </c>
      <c r="C1" s="257"/>
      <c r="D1" s="257"/>
      <c r="E1" s="257"/>
      <c r="F1" s="257"/>
      <c r="G1" s="257"/>
      <c r="H1" s="301"/>
      <c r="I1" s="301"/>
    </row>
    <row r="2" spans="1:24" s="250" customFormat="1" ht="30" customHeight="1">
      <c r="A2" s="524" t="s">
        <v>145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</row>
    <row r="3" spans="1:24" s="250" customFormat="1" ht="20.25">
      <c r="A3" s="525" t="s">
        <v>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</row>
    <row r="4" spans="1:24" s="250" customFormat="1" ht="9" customHeight="1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</row>
    <row r="5" spans="1:24" s="250" customFormat="1" ht="20.25">
      <c r="A5" s="525"/>
      <c r="B5" s="345" t="s">
        <v>3</v>
      </c>
      <c r="C5" s="343" t="s">
        <v>146</v>
      </c>
      <c r="D5" s="260" t="s">
        <v>147</v>
      </c>
      <c r="E5" s="260" t="s">
        <v>148</v>
      </c>
      <c r="F5" s="304" t="s">
        <v>149</v>
      </c>
      <c r="G5" s="304"/>
      <c r="H5" s="268" t="s">
        <v>150</v>
      </c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343" t="s">
        <v>151</v>
      </c>
      <c r="W5" s="345" t="s">
        <v>152</v>
      </c>
      <c r="X5" s="345" t="s">
        <v>7</v>
      </c>
    </row>
    <row r="6" spans="1:24" s="250" customFormat="1" ht="13.5" customHeight="1">
      <c r="A6" s="526" t="s">
        <v>153</v>
      </c>
      <c r="B6" s="263"/>
      <c r="C6" s="267"/>
      <c r="D6" s="260"/>
      <c r="E6" s="260"/>
      <c r="F6" s="307"/>
      <c r="G6" s="307"/>
      <c r="H6" s="309"/>
      <c r="I6" s="345" t="s">
        <v>154</v>
      </c>
      <c r="J6" s="538" t="s">
        <v>155</v>
      </c>
      <c r="K6" s="539"/>
      <c r="L6" s="510" t="s">
        <v>156</v>
      </c>
      <c r="M6" s="510" t="s">
        <v>157</v>
      </c>
      <c r="N6" s="510" t="s">
        <v>158</v>
      </c>
      <c r="O6" s="512">
        <v>20210728</v>
      </c>
      <c r="P6" s="539"/>
      <c r="Q6" s="539"/>
      <c r="R6" s="539"/>
      <c r="S6" s="539"/>
      <c r="T6" s="539"/>
      <c r="U6" s="539"/>
      <c r="V6" s="267"/>
      <c r="W6" s="345"/>
      <c r="X6" s="345"/>
    </row>
    <row r="7" spans="1:24" s="250" customFormat="1" ht="18">
      <c r="A7" s="266"/>
      <c r="B7" s="263"/>
      <c r="C7" s="267"/>
      <c r="D7" s="260"/>
      <c r="E7" s="260"/>
      <c r="F7" s="533"/>
      <c r="G7" s="264" t="s">
        <v>159</v>
      </c>
      <c r="H7" s="309"/>
      <c r="I7" s="260"/>
      <c r="J7" s="538"/>
      <c r="K7" s="539"/>
      <c r="L7" s="512"/>
      <c r="M7" s="512"/>
      <c r="N7" s="512"/>
      <c r="O7" s="512"/>
      <c r="P7" s="539"/>
      <c r="Q7" s="539"/>
      <c r="R7" s="539"/>
      <c r="S7" s="539"/>
      <c r="T7" s="539"/>
      <c r="U7" s="539"/>
      <c r="V7" s="267"/>
      <c r="W7" s="345"/>
      <c r="X7" s="345"/>
    </row>
    <row r="8" spans="1:24" s="250" customFormat="1" ht="19.5" hidden="1">
      <c r="A8" s="266"/>
      <c r="B8" s="263"/>
      <c r="C8" s="267"/>
      <c r="D8" s="260"/>
      <c r="E8" s="260"/>
      <c r="F8" s="533"/>
      <c r="G8" s="534"/>
      <c r="H8" s="309"/>
      <c r="I8" s="260"/>
      <c r="J8" s="538"/>
      <c r="K8" s="539"/>
      <c r="L8" s="512"/>
      <c r="M8" s="512"/>
      <c r="N8" s="512"/>
      <c r="O8" s="512"/>
      <c r="P8" s="539"/>
      <c r="Q8" s="539"/>
      <c r="R8" s="539"/>
      <c r="S8" s="539"/>
      <c r="T8" s="539"/>
      <c r="U8" s="539"/>
      <c r="V8" s="267"/>
      <c r="W8" s="345"/>
      <c r="X8" s="345"/>
    </row>
    <row r="9" spans="1:24" s="250" customFormat="1" ht="28.5" customHeight="1">
      <c r="A9" s="270"/>
      <c r="B9" s="263"/>
      <c r="C9" s="271"/>
      <c r="D9" s="260"/>
      <c r="E9" s="260"/>
      <c r="F9" s="535"/>
      <c r="G9" s="536"/>
      <c r="H9" s="311"/>
      <c r="I9" s="260"/>
      <c r="J9" s="538"/>
      <c r="K9" s="539"/>
      <c r="L9" s="512"/>
      <c r="M9" s="512"/>
      <c r="N9" s="512"/>
      <c r="O9" s="512"/>
      <c r="P9" s="539"/>
      <c r="Q9" s="539"/>
      <c r="R9" s="539"/>
      <c r="S9" s="539"/>
      <c r="T9" s="539"/>
      <c r="U9" s="539"/>
      <c r="V9" s="271"/>
      <c r="W9" s="345"/>
      <c r="X9" s="345"/>
    </row>
    <row r="10" spans="1:30" s="250" customFormat="1" ht="18">
      <c r="A10" s="527"/>
      <c r="B10" s="528" t="s">
        <v>15</v>
      </c>
      <c r="C10" s="274">
        <v>1</v>
      </c>
      <c r="D10" s="274">
        <v>2</v>
      </c>
      <c r="E10" s="274"/>
      <c r="F10" s="274">
        <v>3</v>
      </c>
      <c r="G10" s="274">
        <v>4</v>
      </c>
      <c r="H10" s="312">
        <v>5</v>
      </c>
      <c r="I10" s="312">
        <v>6</v>
      </c>
      <c r="J10" s="410"/>
      <c r="K10" s="410"/>
      <c r="L10" s="540">
        <v>3625</v>
      </c>
      <c r="M10" s="540">
        <v>5392</v>
      </c>
      <c r="N10" s="540">
        <f>SUM(N12:N25)</f>
        <v>2013</v>
      </c>
      <c r="O10" s="540"/>
      <c r="P10" s="410"/>
      <c r="Q10" s="410"/>
      <c r="R10" s="410"/>
      <c r="S10" s="410"/>
      <c r="T10" s="410"/>
      <c r="U10" s="410"/>
      <c r="V10" s="410">
        <v>6</v>
      </c>
      <c r="W10" s="410" t="s">
        <v>160</v>
      </c>
      <c r="X10" s="410">
        <v>8</v>
      </c>
      <c r="AB10" s="356"/>
      <c r="AC10" s="356"/>
      <c r="AD10" s="356"/>
    </row>
    <row r="11" spans="1:25" s="250" customFormat="1" ht="30" customHeight="1">
      <c r="A11" s="527"/>
      <c r="B11" s="528" t="s">
        <v>20</v>
      </c>
      <c r="C11" s="529">
        <f>SUM(C12:C27)</f>
        <v>491125</v>
      </c>
      <c r="D11" s="529">
        <f>SUM(D12:D27)</f>
        <v>469282</v>
      </c>
      <c r="E11" s="529">
        <f>SUM(E12:E27)</f>
        <v>476848</v>
      </c>
      <c r="F11" s="529">
        <f>SUM(F12:F27)</f>
        <v>450239</v>
      </c>
      <c r="G11" s="529">
        <f>SUM(G12:G27)</f>
        <v>4068</v>
      </c>
      <c r="H11" s="314">
        <f>F11/E11</f>
        <v>0.9441981511928329</v>
      </c>
      <c r="I11" s="314" t="s">
        <v>21</v>
      </c>
      <c r="J11" s="541">
        <v>396080</v>
      </c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29">
        <f>SUM(V12:V27)</f>
        <v>18949</v>
      </c>
      <c r="W11" s="529">
        <f>D11+V11</f>
        <v>488231</v>
      </c>
      <c r="X11" s="546"/>
      <c r="Y11" s="521"/>
    </row>
    <row r="12" spans="1:31" s="251" customFormat="1" ht="37.5" customHeight="1">
      <c r="A12" s="530">
        <v>1</v>
      </c>
      <c r="B12" s="281" t="s">
        <v>22</v>
      </c>
      <c r="C12" s="279">
        <v>90046</v>
      </c>
      <c r="D12" s="279">
        <f>79452+108+48</f>
        <v>79608</v>
      </c>
      <c r="E12" s="279">
        <v>83146</v>
      </c>
      <c r="F12" s="279">
        <v>78111</v>
      </c>
      <c r="G12" s="279">
        <v>1557</v>
      </c>
      <c r="H12" s="315">
        <f aca="true" t="shared" si="0" ref="H12:H27">F12/E12</f>
        <v>0.9394438698193539</v>
      </c>
      <c r="I12" s="316">
        <v>6</v>
      </c>
      <c r="J12" s="330">
        <v>73471</v>
      </c>
      <c r="K12" s="331"/>
      <c r="L12" s="332"/>
      <c r="M12" s="332"/>
      <c r="N12" s="332"/>
      <c r="O12" s="332"/>
      <c r="P12" s="330"/>
      <c r="Q12" s="330"/>
      <c r="R12" s="330"/>
      <c r="S12" s="330"/>
      <c r="T12" s="330"/>
      <c r="U12" s="330"/>
      <c r="V12" s="279">
        <v>10438</v>
      </c>
      <c r="W12" s="316">
        <f>D12+V12</f>
        <v>90046</v>
      </c>
      <c r="X12" s="547"/>
      <c r="Y12" s="549"/>
      <c r="AA12" s="550"/>
      <c r="AB12" s="550"/>
      <c r="AD12" s="555"/>
      <c r="AE12" s="555"/>
    </row>
    <row r="13" spans="1:31" s="251" customFormat="1" ht="30.75" customHeight="1">
      <c r="A13" s="283">
        <v>2</v>
      </c>
      <c r="B13" s="281" t="s">
        <v>23</v>
      </c>
      <c r="C13" s="279">
        <v>47159</v>
      </c>
      <c r="D13" s="279">
        <f>50121-M13</f>
        <v>47159</v>
      </c>
      <c r="E13" s="279">
        <v>47089</v>
      </c>
      <c r="F13" s="279">
        <v>46536</v>
      </c>
      <c r="G13" s="279">
        <v>0</v>
      </c>
      <c r="H13" s="315">
        <f t="shared" si="0"/>
        <v>0.9882562806600268</v>
      </c>
      <c r="I13" s="316">
        <v>13</v>
      </c>
      <c r="J13" s="330">
        <v>44082</v>
      </c>
      <c r="K13" s="331"/>
      <c r="L13" s="332"/>
      <c r="M13" s="332">
        <v>2962</v>
      </c>
      <c r="N13" s="332"/>
      <c r="O13" s="332"/>
      <c r="P13" s="330"/>
      <c r="Q13" s="330"/>
      <c r="R13" s="330"/>
      <c r="S13" s="330"/>
      <c r="T13" s="330"/>
      <c r="U13" s="330"/>
      <c r="V13" s="279"/>
      <c r="W13" s="316">
        <f aca="true" t="shared" si="1" ref="W13:W27">D13+V13</f>
        <v>47159</v>
      </c>
      <c r="X13" s="330"/>
      <c r="Y13" s="549"/>
      <c r="AA13" s="550"/>
      <c r="AB13" s="550"/>
      <c r="AD13" s="555"/>
      <c r="AE13" s="555"/>
    </row>
    <row r="14" spans="1:31" s="251" customFormat="1" ht="30.75" customHeight="1">
      <c r="A14" s="283">
        <v>3</v>
      </c>
      <c r="B14" s="281" t="s">
        <v>161</v>
      </c>
      <c r="C14" s="279">
        <f>44871+1468</f>
        <v>46339</v>
      </c>
      <c r="D14" s="279">
        <f>41161-M14-N14+133</f>
        <v>38778</v>
      </c>
      <c r="E14" s="279">
        <v>41358</v>
      </c>
      <c r="F14" s="279">
        <v>39712</v>
      </c>
      <c r="G14" s="279">
        <v>197</v>
      </c>
      <c r="H14" s="315">
        <f t="shared" si="0"/>
        <v>0.9602011702693554</v>
      </c>
      <c r="I14" s="316">
        <v>11</v>
      </c>
      <c r="J14" s="330">
        <v>35243</v>
      </c>
      <c r="K14" s="331"/>
      <c r="L14" s="332"/>
      <c r="M14" s="332">
        <v>1780</v>
      </c>
      <c r="N14" s="332">
        <v>736</v>
      </c>
      <c r="O14" s="332"/>
      <c r="P14" s="330"/>
      <c r="Q14" s="330"/>
      <c r="R14" s="330"/>
      <c r="S14" s="330"/>
      <c r="T14" s="330"/>
      <c r="U14" s="330"/>
      <c r="V14" s="279">
        <v>6093</v>
      </c>
      <c r="W14" s="316">
        <f t="shared" si="1"/>
        <v>44871</v>
      </c>
      <c r="X14" s="547"/>
      <c r="Y14" s="549"/>
      <c r="AA14" s="551"/>
      <c r="AB14" s="551"/>
      <c r="AD14" s="555"/>
      <c r="AE14" s="555"/>
    </row>
    <row r="15" spans="1:31" s="251" customFormat="1" ht="30.75" customHeight="1">
      <c r="A15" s="283">
        <v>4</v>
      </c>
      <c r="B15" s="281" t="s">
        <v>162</v>
      </c>
      <c r="C15" s="279">
        <v>38473</v>
      </c>
      <c r="D15" s="279">
        <f>39382-450-M15-56</f>
        <v>38473</v>
      </c>
      <c r="E15" s="279">
        <v>38473</v>
      </c>
      <c r="F15" s="279">
        <v>37691</v>
      </c>
      <c r="G15" s="279">
        <v>5</v>
      </c>
      <c r="H15" s="315">
        <f t="shared" si="0"/>
        <v>0.979674057130975</v>
      </c>
      <c r="I15" s="316">
        <v>10</v>
      </c>
      <c r="J15" s="330">
        <v>34802</v>
      </c>
      <c r="K15" s="331"/>
      <c r="L15" s="332">
        <v>450</v>
      </c>
      <c r="M15" s="332">
        <v>403</v>
      </c>
      <c r="N15" s="332"/>
      <c r="O15" s="332"/>
      <c r="P15" s="544" t="s">
        <v>163</v>
      </c>
      <c r="Q15" s="330"/>
      <c r="R15" s="330"/>
      <c r="S15" s="330"/>
      <c r="T15" s="330"/>
      <c r="U15" s="330"/>
      <c r="V15" s="279"/>
      <c r="W15" s="316">
        <f t="shared" si="1"/>
        <v>38473</v>
      </c>
      <c r="X15" s="330"/>
      <c r="Y15" s="549"/>
      <c r="Z15" s="354"/>
      <c r="AA15" s="550"/>
      <c r="AB15" s="550"/>
      <c r="AD15" s="555"/>
      <c r="AE15" s="555"/>
    </row>
    <row r="16" spans="1:31" s="251" customFormat="1" ht="30.75" customHeight="1">
      <c r="A16" s="283">
        <v>5</v>
      </c>
      <c r="B16" s="281" t="s">
        <v>164</v>
      </c>
      <c r="C16" s="279">
        <f>21518+1426</f>
        <v>22944</v>
      </c>
      <c r="D16" s="279">
        <f>19100</f>
        <v>19100</v>
      </c>
      <c r="E16" s="279">
        <f>19658+990</f>
        <v>20648</v>
      </c>
      <c r="F16" s="279">
        <v>17403</v>
      </c>
      <c r="G16" s="279">
        <v>106</v>
      </c>
      <c r="H16" s="315">
        <f t="shared" si="0"/>
        <v>0.8428419217357613</v>
      </c>
      <c r="I16" s="316">
        <v>5</v>
      </c>
      <c r="J16" s="330">
        <v>17815</v>
      </c>
      <c r="K16" s="331"/>
      <c r="L16" s="332"/>
      <c r="M16" s="332"/>
      <c r="N16" s="332"/>
      <c r="O16" s="332"/>
      <c r="P16" s="330"/>
      <c r="Q16" s="330"/>
      <c r="R16" s="330"/>
      <c r="S16" s="330"/>
      <c r="T16" s="330"/>
      <c r="U16" s="330"/>
      <c r="V16" s="279">
        <v>2418</v>
      </c>
      <c r="W16" s="316">
        <f t="shared" si="1"/>
        <v>21518</v>
      </c>
      <c r="X16" s="547"/>
      <c r="Y16" s="549"/>
      <c r="AA16" s="551"/>
      <c r="AB16" s="551"/>
      <c r="AD16" s="555"/>
      <c r="AE16" s="555"/>
    </row>
    <row r="17" spans="1:31" s="251" customFormat="1" ht="30.75" customHeight="1">
      <c r="A17" s="283">
        <v>6</v>
      </c>
      <c r="B17" s="281" t="s">
        <v>165</v>
      </c>
      <c r="C17" s="279">
        <v>10106</v>
      </c>
      <c r="D17" s="279">
        <f>10213-L17-12</f>
        <v>10106</v>
      </c>
      <c r="E17" s="279">
        <v>10106</v>
      </c>
      <c r="F17" s="279">
        <v>9261</v>
      </c>
      <c r="G17" s="279">
        <v>150</v>
      </c>
      <c r="H17" s="315">
        <f t="shared" si="0"/>
        <v>0.9163863051652483</v>
      </c>
      <c r="I17" s="316">
        <v>12</v>
      </c>
      <c r="J17" s="330">
        <v>9318</v>
      </c>
      <c r="K17" s="331"/>
      <c r="L17" s="332">
        <v>95</v>
      </c>
      <c r="M17" s="332"/>
      <c r="N17" s="332"/>
      <c r="O17" s="545" t="s">
        <v>166</v>
      </c>
      <c r="P17" s="330"/>
      <c r="Q17" s="330"/>
      <c r="R17" s="330"/>
      <c r="S17" s="330"/>
      <c r="T17" s="330"/>
      <c r="U17" s="330"/>
      <c r="V17" s="279"/>
      <c r="W17" s="316">
        <f t="shared" si="1"/>
        <v>10106</v>
      </c>
      <c r="X17" s="330"/>
      <c r="Y17" s="549"/>
      <c r="Z17" s="552"/>
      <c r="AA17" s="550"/>
      <c r="AB17" s="550"/>
      <c r="AD17" s="555"/>
      <c r="AE17" s="555"/>
    </row>
    <row r="18" spans="1:31" s="251" customFormat="1" ht="30.75" customHeight="1">
      <c r="A18" s="283">
        <v>7</v>
      </c>
      <c r="B18" s="281" t="s">
        <v>167</v>
      </c>
      <c r="C18" s="279">
        <v>29527</v>
      </c>
      <c r="D18" s="279">
        <v>29527</v>
      </c>
      <c r="E18" s="279">
        <v>29527</v>
      </c>
      <c r="F18" s="279">
        <v>27570</v>
      </c>
      <c r="G18" s="279">
        <v>896</v>
      </c>
      <c r="H18" s="315">
        <f t="shared" si="0"/>
        <v>0.933721678463779</v>
      </c>
      <c r="I18" s="316">
        <v>9</v>
      </c>
      <c r="J18" s="330">
        <v>27056</v>
      </c>
      <c r="K18" s="331"/>
      <c r="L18" s="332"/>
      <c r="M18" s="332"/>
      <c r="N18" s="332"/>
      <c r="O18" s="332"/>
      <c r="P18" s="330"/>
      <c r="Q18" s="330"/>
      <c r="R18" s="330"/>
      <c r="S18" s="330"/>
      <c r="T18" s="330"/>
      <c r="U18" s="330"/>
      <c r="V18" s="279"/>
      <c r="W18" s="316">
        <f t="shared" si="1"/>
        <v>29527</v>
      </c>
      <c r="X18" s="330"/>
      <c r="Y18" s="549"/>
      <c r="AA18" s="550"/>
      <c r="AB18" s="550"/>
      <c r="AD18" s="555"/>
      <c r="AE18" s="555"/>
    </row>
    <row r="19" spans="1:32" s="252" customFormat="1" ht="30.75" customHeight="1">
      <c r="A19" s="283">
        <v>8</v>
      </c>
      <c r="B19" s="281" t="s">
        <v>168</v>
      </c>
      <c r="C19" s="279">
        <v>30243</v>
      </c>
      <c r="D19" s="279">
        <f>30420-N19</f>
        <v>30243</v>
      </c>
      <c r="E19" s="279">
        <v>30243</v>
      </c>
      <c r="F19" s="279">
        <v>28518</v>
      </c>
      <c r="G19" s="279">
        <v>396</v>
      </c>
      <c r="H19" s="315">
        <f t="shared" si="0"/>
        <v>0.9429620077373276</v>
      </c>
      <c r="I19" s="316">
        <v>14</v>
      </c>
      <c r="J19" s="330">
        <v>28270</v>
      </c>
      <c r="K19" s="331"/>
      <c r="L19" s="332"/>
      <c r="M19" s="332"/>
      <c r="N19" s="332">
        <v>177</v>
      </c>
      <c r="O19" s="332"/>
      <c r="P19" s="330"/>
      <c r="Q19" s="330"/>
      <c r="R19" s="330"/>
      <c r="S19" s="330"/>
      <c r="T19" s="330"/>
      <c r="U19" s="330"/>
      <c r="V19" s="279"/>
      <c r="W19" s="316">
        <f t="shared" si="1"/>
        <v>30243</v>
      </c>
      <c r="X19" s="330"/>
      <c r="Y19" s="549"/>
      <c r="AA19" s="550"/>
      <c r="AB19" s="550"/>
      <c r="AD19" s="555"/>
      <c r="AE19" s="555"/>
      <c r="AF19" s="251"/>
    </row>
    <row r="20" spans="1:255" s="251" customFormat="1" ht="30.75" customHeight="1">
      <c r="A20" s="283">
        <v>9</v>
      </c>
      <c r="B20" s="281" t="s">
        <v>169</v>
      </c>
      <c r="C20" s="279">
        <v>24195</v>
      </c>
      <c r="D20" s="279">
        <f>24704-N20-48-77</f>
        <v>24195</v>
      </c>
      <c r="E20" s="279">
        <v>24189</v>
      </c>
      <c r="F20" s="279">
        <v>24075</v>
      </c>
      <c r="G20" s="279">
        <v>0</v>
      </c>
      <c r="H20" s="315">
        <f t="shared" si="0"/>
        <v>0.9952871139774278</v>
      </c>
      <c r="I20" s="316">
        <v>7</v>
      </c>
      <c r="J20" s="330">
        <v>22700</v>
      </c>
      <c r="K20" s="331"/>
      <c r="L20" s="332"/>
      <c r="M20" s="332"/>
      <c r="N20" s="332">
        <v>384</v>
      </c>
      <c r="O20" s="332"/>
      <c r="P20" s="331"/>
      <c r="Q20" s="331"/>
      <c r="R20" s="331"/>
      <c r="S20" s="331"/>
      <c r="T20" s="331"/>
      <c r="U20" s="331"/>
      <c r="V20" s="348"/>
      <c r="W20" s="316">
        <f t="shared" si="1"/>
        <v>24195</v>
      </c>
      <c r="X20" s="331"/>
      <c r="Y20" s="549"/>
      <c r="Z20" s="252"/>
      <c r="AA20" s="550"/>
      <c r="AB20" s="550"/>
      <c r="AC20" s="553"/>
      <c r="AD20" s="555"/>
      <c r="AE20" s="555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</row>
    <row r="21" spans="1:32" s="252" customFormat="1" ht="30.75" customHeight="1">
      <c r="A21" s="283">
        <v>10</v>
      </c>
      <c r="B21" s="281" t="s">
        <v>170</v>
      </c>
      <c r="C21" s="279">
        <v>45721</v>
      </c>
      <c r="D21" s="279">
        <f>46205-L21</f>
        <v>45721</v>
      </c>
      <c r="E21" s="279">
        <f>D21-28+4</f>
        <v>45697</v>
      </c>
      <c r="F21" s="279">
        <v>43945</v>
      </c>
      <c r="G21" s="279">
        <v>82</v>
      </c>
      <c r="H21" s="315">
        <f t="shared" si="0"/>
        <v>0.9616605028776506</v>
      </c>
      <c r="I21" s="316">
        <v>2</v>
      </c>
      <c r="J21" s="330">
        <v>44470</v>
      </c>
      <c r="K21" s="331"/>
      <c r="L21" s="332">
        <v>484</v>
      </c>
      <c r="M21" s="332"/>
      <c r="N21" s="332"/>
      <c r="O21" s="332"/>
      <c r="P21" s="544" t="s">
        <v>171</v>
      </c>
      <c r="Q21" s="330"/>
      <c r="R21" s="330"/>
      <c r="S21" s="330"/>
      <c r="T21" s="330"/>
      <c r="U21" s="330"/>
      <c r="V21" s="279"/>
      <c r="W21" s="316">
        <f t="shared" si="1"/>
        <v>45721</v>
      </c>
      <c r="X21" s="330"/>
      <c r="Y21" s="549"/>
      <c r="AA21" s="550"/>
      <c r="AB21" s="550"/>
      <c r="AD21" s="555"/>
      <c r="AE21" s="555"/>
      <c r="AF21" s="251"/>
    </row>
    <row r="22" spans="1:31" s="251" customFormat="1" ht="30.75" customHeight="1">
      <c r="A22" s="283">
        <v>11</v>
      </c>
      <c r="B22" s="281" t="s">
        <v>172</v>
      </c>
      <c r="C22" s="279">
        <f>19070+1</f>
        <v>19071</v>
      </c>
      <c r="D22" s="279">
        <f>20281-L22-M22-108-N22+1</f>
        <v>19071</v>
      </c>
      <c r="E22" s="279">
        <v>19071</v>
      </c>
      <c r="F22" s="279">
        <v>18668</v>
      </c>
      <c r="G22" s="279">
        <v>13</v>
      </c>
      <c r="H22" s="315">
        <f t="shared" si="0"/>
        <v>0.9788684389911384</v>
      </c>
      <c r="I22" s="316">
        <v>4</v>
      </c>
      <c r="J22" s="330">
        <v>17553</v>
      </c>
      <c r="K22" s="331"/>
      <c r="L22" s="332">
        <v>463</v>
      </c>
      <c r="M22" s="332">
        <v>247</v>
      </c>
      <c r="N22" s="332">
        <v>393</v>
      </c>
      <c r="O22" s="332"/>
      <c r="P22" s="330"/>
      <c r="Q22" s="330"/>
      <c r="R22" s="330"/>
      <c r="S22" s="330"/>
      <c r="T22" s="330"/>
      <c r="U22" s="330"/>
      <c r="V22" s="279"/>
      <c r="W22" s="316">
        <f t="shared" si="1"/>
        <v>19071</v>
      </c>
      <c r="X22" s="330"/>
      <c r="Y22" s="549"/>
      <c r="AA22" s="550"/>
      <c r="AB22" s="550"/>
      <c r="AD22" s="555"/>
      <c r="AE22" s="555"/>
    </row>
    <row r="23" spans="1:31" s="251" customFormat="1" ht="30.75" customHeight="1">
      <c r="A23" s="283">
        <v>12</v>
      </c>
      <c r="B23" s="281" t="s">
        <v>173</v>
      </c>
      <c r="C23" s="279">
        <v>37940</v>
      </c>
      <c r="D23" s="279">
        <f>38642-579-N23</f>
        <v>37940</v>
      </c>
      <c r="E23" s="279">
        <v>37940</v>
      </c>
      <c r="F23" s="279">
        <v>34631</v>
      </c>
      <c r="G23" s="279">
        <v>78</v>
      </c>
      <c r="H23" s="315">
        <f t="shared" si="0"/>
        <v>0.9127833421191355</v>
      </c>
      <c r="I23" s="316">
        <v>3</v>
      </c>
      <c r="J23" s="330">
        <v>36486</v>
      </c>
      <c r="K23" s="331"/>
      <c r="L23" s="332">
        <v>579</v>
      </c>
      <c r="M23" s="332"/>
      <c r="N23" s="332">
        <v>123</v>
      </c>
      <c r="O23" s="332"/>
      <c r="P23" s="330"/>
      <c r="Q23" s="330"/>
      <c r="R23" s="330"/>
      <c r="S23" s="330"/>
      <c r="T23" s="330"/>
      <c r="U23" s="330"/>
      <c r="V23" s="279"/>
      <c r="W23" s="316">
        <f t="shared" si="1"/>
        <v>37940</v>
      </c>
      <c r="X23" s="330"/>
      <c r="Y23" s="549"/>
      <c r="AA23" s="550"/>
      <c r="AB23" s="550"/>
      <c r="AD23" s="555"/>
      <c r="AE23" s="555"/>
    </row>
    <row r="24" spans="1:255" s="251" customFormat="1" ht="30.75" customHeight="1">
      <c r="A24" s="283">
        <v>13</v>
      </c>
      <c r="B24" s="281" t="s">
        <v>174</v>
      </c>
      <c r="C24" s="279">
        <v>29236</v>
      </c>
      <c r="D24" s="279">
        <v>29236</v>
      </c>
      <c r="E24" s="279">
        <v>29236</v>
      </c>
      <c r="F24" s="279">
        <v>25565</v>
      </c>
      <c r="G24" s="279">
        <v>368</v>
      </c>
      <c r="H24" s="315">
        <f t="shared" si="0"/>
        <v>0.8744356273087974</v>
      </c>
      <c r="I24" s="316">
        <v>8</v>
      </c>
      <c r="J24" s="330">
        <v>27663</v>
      </c>
      <c r="K24" s="331"/>
      <c r="L24" s="332"/>
      <c r="M24" s="332"/>
      <c r="N24" s="332"/>
      <c r="O24" s="332"/>
      <c r="P24" s="331"/>
      <c r="Q24" s="331"/>
      <c r="R24" s="331"/>
      <c r="S24" s="331"/>
      <c r="T24" s="331"/>
      <c r="U24" s="331"/>
      <c r="V24" s="348"/>
      <c r="W24" s="316">
        <f t="shared" si="1"/>
        <v>29236</v>
      </c>
      <c r="X24" s="331"/>
      <c r="Y24" s="549"/>
      <c r="Z24" s="553"/>
      <c r="AA24" s="550"/>
      <c r="AB24" s="550"/>
      <c r="AC24" s="553"/>
      <c r="AD24" s="555"/>
      <c r="AE24" s="555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  <c r="IB24" s="254"/>
      <c r="IC24" s="254"/>
      <c r="ID24" s="254"/>
      <c r="IE24" s="254"/>
      <c r="IF24" s="254"/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54"/>
      <c r="IR24" s="254"/>
      <c r="IS24" s="254"/>
      <c r="IT24" s="254"/>
      <c r="IU24" s="254"/>
    </row>
    <row r="25" spans="1:255" s="252" customFormat="1" ht="30.75" customHeight="1">
      <c r="A25" s="284">
        <v>14</v>
      </c>
      <c r="B25" s="285" t="s">
        <v>175</v>
      </c>
      <c r="C25" s="286">
        <v>17811</v>
      </c>
      <c r="D25" s="286">
        <f>19565-1554-N25</f>
        <v>17811</v>
      </c>
      <c r="E25" s="286">
        <v>17811</v>
      </c>
      <c r="F25" s="286">
        <v>16966</v>
      </c>
      <c r="G25" s="286">
        <v>220</v>
      </c>
      <c r="H25" s="508">
        <f t="shared" si="0"/>
        <v>0.9525574083431587</v>
      </c>
      <c r="I25" s="318">
        <v>1</v>
      </c>
      <c r="J25" s="333">
        <v>17039</v>
      </c>
      <c r="K25" s="334"/>
      <c r="L25" s="335">
        <v>1554</v>
      </c>
      <c r="M25" s="335"/>
      <c r="N25" s="335">
        <v>200</v>
      </c>
      <c r="O25" s="335"/>
      <c r="P25" s="333"/>
      <c r="Q25" s="333"/>
      <c r="R25" s="333"/>
      <c r="S25" s="333"/>
      <c r="T25" s="333"/>
      <c r="U25" s="333"/>
      <c r="V25" s="286"/>
      <c r="W25" s="318">
        <f t="shared" si="1"/>
        <v>17811</v>
      </c>
      <c r="X25" s="334"/>
      <c r="Y25" s="549"/>
      <c r="Z25" s="554"/>
      <c r="AA25" s="550"/>
      <c r="AB25" s="550"/>
      <c r="AC25" s="554"/>
      <c r="AD25" s="555"/>
      <c r="AE25" s="555"/>
      <c r="AF25" s="251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5"/>
      <c r="DG25" s="355"/>
      <c r="DH25" s="355"/>
      <c r="DI25" s="355"/>
      <c r="DJ25" s="355"/>
      <c r="DK25" s="355"/>
      <c r="DL25" s="355"/>
      <c r="DM25" s="355"/>
      <c r="DN25" s="355"/>
      <c r="DO25" s="355"/>
      <c r="DP25" s="355"/>
      <c r="DQ25" s="355"/>
      <c r="DR25" s="355"/>
      <c r="DS25" s="355"/>
      <c r="DT25" s="355"/>
      <c r="DU25" s="355"/>
      <c r="DV25" s="355"/>
      <c r="DW25" s="355"/>
      <c r="DX25" s="355"/>
      <c r="DY25" s="355"/>
      <c r="DZ25" s="355"/>
      <c r="EA25" s="355"/>
      <c r="EB25" s="355"/>
      <c r="EC25" s="355"/>
      <c r="ED25" s="355"/>
      <c r="EE25" s="355"/>
      <c r="EF25" s="355"/>
      <c r="EG25" s="355"/>
      <c r="EH25" s="355"/>
      <c r="EI25" s="355"/>
      <c r="EJ25" s="355"/>
      <c r="EK25" s="355"/>
      <c r="EL25" s="355"/>
      <c r="EM25" s="355"/>
      <c r="EN25" s="355"/>
      <c r="EO25" s="355"/>
      <c r="EP25" s="355"/>
      <c r="EQ25" s="355"/>
      <c r="ER25" s="355"/>
      <c r="ES25" s="355"/>
      <c r="ET25" s="355"/>
      <c r="EU25" s="355"/>
      <c r="EV25" s="355"/>
      <c r="EW25" s="355"/>
      <c r="EX25" s="355"/>
      <c r="EY25" s="355"/>
      <c r="EZ25" s="355"/>
      <c r="FA25" s="355"/>
      <c r="FB25" s="355"/>
      <c r="FC25" s="355"/>
      <c r="FD25" s="355"/>
      <c r="FE25" s="355"/>
      <c r="FF25" s="355"/>
      <c r="FG25" s="355"/>
      <c r="FH25" s="355"/>
      <c r="FI25" s="355"/>
      <c r="FJ25" s="355"/>
      <c r="FK25" s="355"/>
      <c r="FL25" s="355"/>
      <c r="FM25" s="355"/>
      <c r="FN25" s="355"/>
      <c r="FO25" s="355"/>
      <c r="FP25" s="355"/>
      <c r="FQ25" s="355"/>
      <c r="FR25" s="355"/>
      <c r="FS25" s="355"/>
      <c r="FT25" s="355"/>
      <c r="FU25" s="355"/>
      <c r="FV25" s="355"/>
      <c r="FW25" s="355"/>
      <c r="FX25" s="355"/>
      <c r="FY25" s="355"/>
      <c r="FZ25" s="355"/>
      <c r="GA25" s="355"/>
      <c r="GB25" s="355"/>
      <c r="GC25" s="355"/>
      <c r="GD25" s="355"/>
      <c r="GE25" s="355"/>
      <c r="GF25" s="355"/>
      <c r="GG25" s="355"/>
      <c r="GH25" s="355"/>
      <c r="GI25" s="355"/>
      <c r="GJ25" s="355"/>
      <c r="GK25" s="355"/>
      <c r="GL25" s="355"/>
      <c r="GM25" s="355"/>
      <c r="GN25" s="355"/>
      <c r="GO25" s="355"/>
      <c r="GP25" s="355"/>
      <c r="GQ25" s="355"/>
      <c r="GR25" s="355"/>
      <c r="GS25" s="355"/>
      <c r="GT25" s="355"/>
      <c r="GU25" s="355"/>
      <c r="GV25" s="355"/>
      <c r="GW25" s="355"/>
      <c r="GX25" s="355"/>
      <c r="GY25" s="355"/>
      <c r="GZ25" s="355"/>
      <c r="HA25" s="355"/>
      <c r="HB25" s="355"/>
      <c r="HC25" s="355"/>
      <c r="HD25" s="355"/>
      <c r="HE25" s="355"/>
      <c r="HF25" s="355"/>
      <c r="HG25" s="355"/>
      <c r="HH25" s="355"/>
      <c r="HI25" s="355"/>
      <c r="HJ25" s="355"/>
      <c r="HK25" s="355"/>
      <c r="HL25" s="355"/>
      <c r="HM25" s="355"/>
      <c r="HN25" s="355"/>
      <c r="HO25" s="355"/>
      <c r="HP25" s="355"/>
      <c r="HQ25" s="355"/>
      <c r="HR25" s="355"/>
      <c r="HS25" s="355"/>
      <c r="HT25" s="355"/>
      <c r="HU25" s="355"/>
      <c r="HV25" s="355"/>
      <c r="HW25" s="355"/>
      <c r="HX25" s="355"/>
      <c r="HY25" s="355"/>
      <c r="HZ25" s="355"/>
      <c r="IA25" s="355"/>
      <c r="IB25" s="355"/>
      <c r="IC25" s="355"/>
      <c r="ID25" s="355"/>
      <c r="IE25" s="355"/>
      <c r="IF25" s="355"/>
      <c r="IG25" s="355"/>
      <c r="IH25" s="355"/>
      <c r="II25" s="355"/>
      <c r="IJ25" s="355"/>
      <c r="IK25" s="355"/>
      <c r="IL25" s="355"/>
      <c r="IM25" s="355"/>
      <c r="IN25" s="355"/>
      <c r="IO25" s="355"/>
      <c r="IP25" s="355"/>
      <c r="IQ25" s="355"/>
      <c r="IR25" s="355"/>
      <c r="IS25" s="355"/>
      <c r="IT25" s="355"/>
      <c r="IU25" s="355"/>
    </row>
    <row r="26" spans="1:31" s="251" customFormat="1" ht="30.75" customHeight="1">
      <c r="A26" s="531">
        <v>15</v>
      </c>
      <c r="B26" s="494" t="s">
        <v>176</v>
      </c>
      <c r="C26" s="290">
        <v>2067</v>
      </c>
      <c r="D26" s="290">
        <f>2467-400</f>
        <v>2067</v>
      </c>
      <c r="E26" s="290">
        <v>2067</v>
      </c>
      <c r="F26" s="290">
        <v>1340</v>
      </c>
      <c r="G26" s="290"/>
      <c r="H26" s="509">
        <f t="shared" si="0"/>
        <v>0.6482825350749879</v>
      </c>
      <c r="I26" s="319"/>
      <c r="J26" s="542">
        <v>411</v>
      </c>
      <c r="K26" s="542"/>
      <c r="L26" s="543"/>
      <c r="M26" s="543"/>
      <c r="N26" s="543"/>
      <c r="O26" s="543"/>
      <c r="P26" s="542"/>
      <c r="Q26" s="542"/>
      <c r="R26" s="542"/>
      <c r="S26" s="542"/>
      <c r="T26" s="542"/>
      <c r="U26" s="542"/>
      <c r="V26" s="290"/>
      <c r="W26" s="548">
        <f t="shared" si="1"/>
        <v>2067</v>
      </c>
      <c r="X26" s="542"/>
      <c r="Y26" s="549"/>
      <c r="AA26" s="550"/>
      <c r="AB26" s="550"/>
      <c r="AD26" s="555"/>
      <c r="AE26" s="555"/>
    </row>
    <row r="27" spans="1:31" s="251" customFormat="1" ht="30.75" customHeight="1">
      <c r="A27" s="532">
        <v>16</v>
      </c>
      <c r="B27" s="281" t="s">
        <v>177</v>
      </c>
      <c r="C27" s="279">
        <v>247</v>
      </c>
      <c r="D27" s="279">
        <v>247</v>
      </c>
      <c r="E27" s="279">
        <v>247</v>
      </c>
      <c r="F27" s="279">
        <v>247</v>
      </c>
      <c r="G27" s="279"/>
      <c r="H27" s="315">
        <f t="shared" si="0"/>
        <v>1</v>
      </c>
      <c r="I27" s="315"/>
      <c r="J27" s="330">
        <v>247</v>
      </c>
      <c r="K27" s="330"/>
      <c r="L27" s="332"/>
      <c r="M27" s="332"/>
      <c r="N27" s="332"/>
      <c r="O27" s="332"/>
      <c r="P27" s="330"/>
      <c r="Q27" s="330"/>
      <c r="R27" s="330"/>
      <c r="S27" s="330"/>
      <c r="T27" s="330"/>
      <c r="U27" s="330"/>
      <c r="V27" s="279"/>
      <c r="W27" s="316">
        <f t="shared" si="1"/>
        <v>247</v>
      </c>
      <c r="X27" s="330"/>
      <c r="Y27" s="549"/>
      <c r="AA27" s="550"/>
      <c r="AB27" s="550"/>
      <c r="AD27" s="555"/>
      <c r="AE27" s="555"/>
    </row>
    <row r="28" spans="1:23" s="251" customFormat="1" ht="12" customHeight="1">
      <c r="A28" s="292"/>
      <c r="B28" s="293"/>
      <c r="C28" s="294"/>
      <c r="D28" s="295"/>
      <c r="E28" s="295"/>
      <c r="F28" s="295"/>
      <c r="G28" s="295"/>
      <c r="H28" s="320"/>
      <c r="I28" s="320"/>
      <c r="J28" s="338"/>
      <c r="K28" s="338"/>
      <c r="L28" s="339"/>
      <c r="M28" s="339"/>
      <c r="N28" s="339"/>
      <c r="O28" s="339"/>
      <c r="P28" s="338"/>
      <c r="Q28" s="338"/>
      <c r="R28" s="338"/>
      <c r="S28" s="338"/>
      <c r="T28" s="338"/>
      <c r="U28" s="338"/>
      <c r="V28" s="338"/>
      <c r="W28" s="338"/>
    </row>
    <row r="29" spans="1:24" s="253" customFormat="1" ht="39.75" customHeight="1" hidden="1">
      <c r="A29" s="296" t="s">
        <v>178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</row>
    <row r="30" spans="1:9" s="253" customFormat="1" ht="13.5">
      <c r="A30" s="298"/>
      <c r="B30" s="299"/>
      <c r="C30" s="299"/>
      <c r="D30" s="299"/>
      <c r="E30" s="299"/>
      <c r="F30" s="299"/>
      <c r="G30" s="299"/>
      <c r="H30" s="299"/>
      <c r="I30" s="299"/>
    </row>
    <row r="31" spans="1:9" s="253" customFormat="1" ht="13.5">
      <c r="A31" s="300"/>
      <c r="B31" s="300"/>
      <c r="C31" s="300"/>
      <c r="D31" s="300"/>
      <c r="E31" s="300"/>
      <c r="F31" s="300"/>
      <c r="G31" s="300"/>
      <c r="H31" s="300"/>
      <c r="I31" s="300"/>
    </row>
    <row r="32" spans="1:9" s="253" customFormat="1" ht="13.5">
      <c r="A32" s="299"/>
      <c r="B32" s="299"/>
      <c r="C32" s="299"/>
      <c r="D32" s="299"/>
      <c r="E32" s="299"/>
      <c r="F32" s="299"/>
      <c r="G32" s="299"/>
      <c r="H32" s="299"/>
      <c r="I32" s="299"/>
    </row>
  </sheetData>
  <sheetProtection/>
  <mergeCells count="20">
    <mergeCell ref="A2:X2"/>
    <mergeCell ref="A3:X3"/>
    <mergeCell ref="A29:X29"/>
    <mergeCell ref="A6:A9"/>
    <mergeCell ref="B5:B9"/>
    <mergeCell ref="C5:C9"/>
    <mergeCell ref="D5:D9"/>
    <mergeCell ref="E5:E9"/>
    <mergeCell ref="G7:G9"/>
    <mergeCell ref="H5:H9"/>
    <mergeCell ref="I6:I9"/>
    <mergeCell ref="J6:J9"/>
    <mergeCell ref="L6:L9"/>
    <mergeCell ref="M6:M9"/>
    <mergeCell ref="N6:N9"/>
    <mergeCell ref="O6:O9"/>
    <mergeCell ref="V5:V9"/>
    <mergeCell ref="W5:W9"/>
    <mergeCell ref="X5:X9"/>
    <mergeCell ref="F5:G6"/>
  </mergeCells>
  <dataValidations count="1">
    <dataValidation allowBlank="1" showInputMessage="1" showErrorMessage="1" sqref="D12 E12 D13 E13 C17 C19 C12:C13 C23:C25 D14:D25 E14:E25"/>
  </dataValidations>
  <printOptions horizontalCentered="1"/>
  <pageMargins left="0.5902777777777778" right="0.4722222222222222" top="0.5902777777777778" bottom="1.1805555555555556" header="0.5" footer="0.5"/>
  <pageSetup fitToHeight="0" horizontalDpi="600" verticalDpi="600" orientation="portrait" paperSize="9" scale="9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V29"/>
  <sheetViews>
    <sheetView zoomScale="82" zoomScaleNormal="82" zoomScaleSheetLayoutView="100" workbookViewId="0" topLeftCell="A1">
      <selection activeCell="G10" sqref="G10"/>
    </sheetView>
  </sheetViews>
  <sheetFormatPr defaultColWidth="9.00390625" defaultRowHeight="15"/>
  <cols>
    <col min="1" max="1" width="9.00390625" style="478" customWidth="1"/>
    <col min="2" max="2" width="13.57421875" style="478" customWidth="1"/>
    <col min="3" max="3" width="15.140625" style="478" customWidth="1"/>
    <col min="4" max="4" width="16.00390625" style="478" customWidth="1"/>
    <col min="5" max="5" width="16.140625" style="478" customWidth="1"/>
    <col min="6" max="6" width="16.57421875" style="478" customWidth="1"/>
    <col min="7" max="7" width="16.8515625" style="478" customWidth="1"/>
    <col min="8" max="8" width="9.00390625" style="478" hidden="1" customWidth="1"/>
    <col min="9" max="11" width="9.140625" style="478" hidden="1" customWidth="1"/>
    <col min="12" max="12" width="11.57421875" style="478" hidden="1" customWidth="1"/>
    <col min="13" max="13" width="9.421875" style="479" hidden="1" customWidth="1"/>
    <col min="14" max="14" width="12.57421875" style="478" hidden="1" customWidth="1"/>
    <col min="15" max="15" width="12.57421875" style="478" bestFit="1" customWidth="1"/>
    <col min="16" max="16" width="9.00390625" style="478" customWidth="1"/>
    <col min="17" max="17" width="11.140625" style="478" bestFit="1" customWidth="1"/>
    <col min="18" max="21" width="9.00390625" style="478" customWidth="1"/>
    <col min="22" max="22" width="12.57421875" style="478" bestFit="1" customWidth="1"/>
    <col min="23" max="16384" width="9.00390625" style="478" customWidth="1"/>
  </cols>
  <sheetData>
    <row r="1" spans="1:14" s="476" customFormat="1" ht="33.75" customHeight="1">
      <c r="A1" s="480" t="s">
        <v>179</v>
      </c>
      <c r="B1" s="480"/>
      <c r="C1" s="481"/>
      <c r="D1" s="481"/>
      <c r="E1" s="481"/>
      <c r="F1" s="481"/>
      <c r="G1" s="481"/>
      <c r="H1" s="484"/>
      <c r="I1" s="484"/>
      <c r="J1" s="484"/>
      <c r="K1" s="484"/>
      <c r="L1" s="484"/>
      <c r="M1" s="516"/>
      <c r="N1" s="484"/>
    </row>
    <row r="2" spans="1:14" s="476" customFormat="1" ht="26.25">
      <c r="A2" s="482" t="s">
        <v>180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1:14" s="476" customFormat="1" ht="20.25">
      <c r="A3" s="483" t="s">
        <v>2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</row>
    <row r="4" spans="1:14" s="476" customFormat="1" ht="15" customHeight="1">
      <c r="A4" s="484"/>
      <c r="B4" s="485"/>
      <c r="C4" s="485"/>
      <c r="D4" s="485"/>
      <c r="E4" s="497"/>
      <c r="F4" s="497"/>
      <c r="G4" s="497"/>
      <c r="H4" s="484"/>
      <c r="I4" s="484"/>
      <c r="J4" s="484"/>
      <c r="K4" s="484"/>
      <c r="L4" s="484"/>
      <c r="M4" s="516"/>
      <c r="N4" s="484"/>
    </row>
    <row r="5" spans="1:14" s="476" customFormat="1" ht="30" customHeight="1">
      <c r="A5" s="486" t="s">
        <v>153</v>
      </c>
      <c r="B5" s="487" t="s">
        <v>3</v>
      </c>
      <c r="C5" s="488" t="s">
        <v>181</v>
      </c>
      <c r="D5" s="260" t="s">
        <v>182</v>
      </c>
      <c r="E5" s="498" t="s">
        <v>149</v>
      </c>
      <c r="F5" s="499"/>
      <c r="G5" s="500" t="s">
        <v>150</v>
      </c>
      <c r="H5" s="501" t="s">
        <v>156</v>
      </c>
      <c r="I5" s="510" t="s">
        <v>157</v>
      </c>
      <c r="J5" s="510" t="s">
        <v>158</v>
      </c>
      <c r="K5" s="457" t="s">
        <v>154</v>
      </c>
      <c r="L5" s="511"/>
      <c r="M5" s="517"/>
      <c r="N5" s="511"/>
    </row>
    <row r="6" spans="1:14" s="476" customFormat="1" ht="10.5" customHeight="1">
      <c r="A6" s="89"/>
      <c r="B6" s="398"/>
      <c r="C6" s="489"/>
      <c r="D6" s="263"/>
      <c r="E6" s="502"/>
      <c r="F6" s="500" t="s">
        <v>183</v>
      </c>
      <c r="G6" s="503"/>
      <c r="H6" s="504"/>
      <c r="I6" s="512"/>
      <c r="J6" s="512"/>
      <c r="K6" s="397"/>
      <c r="L6" s="511"/>
      <c r="M6" s="517"/>
      <c r="N6" s="511"/>
    </row>
    <row r="7" spans="1:14" s="476" customFormat="1" ht="49.5" customHeight="1">
      <c r="A7" s="89"/>
      <c r="B7" s="398"/>
      <c r="C7" s="490"/>
      <c r="D7" s="263"/>
      <c r="E7" s="505"/>
      <c r="F7" s="506"/>
      <c r="G7" s="506"/>
      <c r="H7" s="504"/>
      <c r="I7" s="512"/>
      <c r="J7" s="512"/>
      <c r="K7" s="397"/>
      <c r="L7" s="511"/>
      <c r="M7" s="517"/>
      <c r="N7" s="511"/>
    </row>
    <row r="8" spans="1:21" s="476" customFormat="1" ht="19.5" customHeight="1">
      <c r="A8" s="281" t="s">
        <v>184</v>
      </c>
      <c r="B8" s="282"/>
      <c r="C8" s="491" t="s">
        <v>185</v>
      </c>
      <c r="D8" s="491" t="s">
        <v>186</v>
      </c>
      <c r="E8" s="491" t="s">
        <v>187</v>
      </c>
      <c r="F8" s="491" t="s">
        <v>188</v>
      </c>
      <c r="G8" s="491" t="s">
        <v>189</v>
      </c>
      <c r="H8" s="507">
        <v>3316</v>
      </c>
      <c r="I8" s="397">
        <v>1260</v>
      </c>
      <c r="J8" s="397">
        <f>SUM(J10:J23)</f>
        <v>1233</v>
      </c>
      <c r="K8" s="397">
        <v>5</v>
      </c>
      <c r="L8" s="513"/>
      <c r="M8" s="518"/>
      <c r="N8" s="513"/>
      <c r="Q8" s="250"/>
      <c r="R8" s="250"/>
      <c r="S8" s="356"/>
      <c r="T8" s="356"/>
      <c r="U8" s="356"/>
    </row>
    <row r="9" spans="1:21" s="476" customFormat="1" ht="31.5" customHeight="1">
      <c r="A9" s="492" t="s">
        <v>190</v>
      </c>
      <c r="B9" s="493"/>
      <c r="C9" s="397">
        <f>SUM(C10:C25)</f>
        <v>406325</v>
      </c>
      <c r="D9" s="397">
        <f>SUM(D10:D25)</f>
        <v>391516</v>
      </c>
      <c r="E9" s="397">
        <f>SUM(E10:E25)</f>
        <v>374199</v>
      </c>
      <c r="F9" s="397">
        <f>SUM(F10:F25)</f>
        <v>3529</v>
      </c>
      <c r="G9" s="314">
        <f>E9/D9</f>
        <v>0.9557693683016786</v>
      </c>
      <c r="H9" s="507"/>
      <c r="I9" s="397"/>
      <c r="J9" s="397"/>
      <c r="K9" s="397" t="s">
        <v>21</v>
      </c>
      <c r="L9" s="513">
        <v>9390</v>
      </c>
      <c r="M9" s="518">
        <f>F9/L9</f>
        <v>0.37582534611288604</v>
      </c>
      <c r="N9" s="518">
        <f>F9/L9</f>
        <v>0.37582534611288604</v>
      </c>
      <c r="Q9" s="521"/>
      <c r="R9" s="250"/>
      <c r="S9" s="250"/>
      <c r="T9" s="250"/>
      <c r="U9" s="250"/>
    </row>
    <row r="10" spans="1:18" s="476" customFormat="1" ht="31.5" customHeight="1">
      <c r="A10" s="279">
        <v>1</v>
      </c>
      <c r="B10" s="281" t="s">
        <v>22</v>
      </c>
      <c r="C10" s="279">
        <v>74512</v>
      </c>
      <c r="D10" s="279">
        <v>67050</v>
      </c>
      <c r="E10" s="279">
        <v>65381</v>
      </c>
      <c r="F10" s="279">
        <v>1191</v>
      </c>
      <c r="G10" s="315">
        <f>E10/D10</f>
        <v>0.9751081282624907</v>
      </c>
      <c r="H10" s="507"/>
      <c r="I10" s="397"/>
      <c r="J10" s="397"/>
      <c r="K10" s="279">
        <v>6</v>
      </c>
      <c r="L10" s="514">
        <v>1372</v>
      </c>
      <c r="M10" s="518">
        <f>F10/L10</f>
        <v>0.8680758017492711</v>
      </c>
      <c r="N10" s="518">
        <f>F10/L10</f>
        <v>0.8680758017492711</v>
      </c>
      <c r="Q10" s="522"/>
      <c r="R10" s="523"/>
    </row>
    <row r="11" spans="1:14" s="476" customFormat="1" ht="31.5" customHeight="1">
      <c r="A11" s="279">
        <v>2</v>
      </c>
      <c r="B11" s="281" t="s">
        <v>23</v>
      </c>
      <c r="C11" s="279">
        <v>34771</v>
      </c>
      <c r="D11" s="279">
        <v>34771</v>
      </c>
      <c r="E11" s="279">
        <v>34409</v>
      </c>
      <c r="F11" s="279">
        <v>0</v>
      </c>
      <c r="G11" s="315">
        <f aca="true" t="shared" si="0" ref="G11:G25">E11/D11</f>
        <v>0.9895890253372063</v>
      </c>
      <c r="H11" s="507"/>
      <c r="I11" s="397">
        <v>602</v>
      </c>
      <c r="J11" s="397"/>
      <c r="K11" s="279">
        <v>8</v>
      </c>
      <c r="L11" s="514">
        <v>1617</v>
      </c>
      <c r="M11" s="518">
        <f aca="true" t="shared" si="1" ref="M11:M24">F11/L11</f>
        <v>0</v>
      </c>
      <c r="N11" s="518">
        <f aca="true" t="shared" si="2" ref="N11:N24">F11/L11</f>
        <v>0</v>
      </c>
    </row>
    <row r="12" spans="1:14" s="476" customFormat="1" ht="31.5" customHeight="1">
      <c r="A12" s="279">
        <v>3</v>
      </c>
      <c r="B12" s="281" t="s">
        <v>161</v>
      </c>
      <c r="C12" s="279">
        <f>34054+1468</f>
        <v>35522</v>
      </c>
      <c r="D12" s="279">
        <f>31886+133</f>
        <v>32019</v>
      </c>
      <c r="E12" s="279">
        <v>30778</v>
      </c>
      <c r="F12" s="279">
        <v>197</v>
      </c>
      <c r="G12" s="315">
        <f t="shared" si="0"/>
        <v>0.9612417627033949</v>
      </c>
      <c r="H12" s="397"/>
      <c r="I12" s="397">
        <v>461</v>
      </c>
      <c r="J12" s="397">
        <v>318</v>
      </c>
      <c r="K12" s="279">
        <v>11</v>
      </c>
      <c r="L12" s="514">
        <v>803</v>
      </c>
      <c r="M12" s="518">
        <f t="shared" si="1"/>
        <v>0.24533001245330013</v>
      </c>
      <c r="N12" s="518">
        <f t="shared" si="2"/>
        <v>0.24533001245330013</v>
      </c>
    </row>
    <row r="13" spans="1:15" s="476" customFormat="1" ht="31.5" customHeight="1">
      <c r="A13" s="279">
        <v>4</v>
      </c>
      <c r="B13" s="281" t="s">
        <v>162</v>
      </c>
      <c r="C13" s="279">
        <f>26122-56</f>
        <v>26066</v>
      </c>
      <c r="D13" s="279">
        <f>26122-56</f>
        <v>26066</v>
      </c>
      <c r="E13" s="279">
        <v>26000</v>
      </c>
      <c r="F13" s="279">
        <v>5</v>
      </c>
      <c r="G13" s="315">
        <f t="shared" si="0"/>
        <v>0.9974679659326325</v>
      </c>
      <c r="H13" s="397">
        <v>450</v>
      </c>
      <c r="I13" s="397">
        <v>0</v>
      </c>
      <c r="J13" s="397"/>
      <c r="K13" s="279">
        <v>7</v>
      </c>
      <c r="L13" s="514">
        <v>426</v>
      </c>
      <c r="M13" s="518">
        <f t="shared" si="1"/>
        <v>0.011737089201877934</v>
      </c>
      <c r="N13" s="518">
        <f t="shared" si="2"/>
        <v>0.011737089201877934</v>
      </c>
      <c r="O13" s="519"/>
    </row>
    <row r="14" spans="1:14" s="476" customFormat="1" ht="31.5" customHeight="1">
      <c r="A14" s="279">
        <v>5</v>
      </c>
      <c r="B14" s="281" t="s">
        <v>164</v>
      </c>
      <c r="C14" s="279">
        <f>18784+1426</f>
        <v>20210</v>
      </c>
      <c r="D14" s="279">
        <v>16366</v>
      </c>
      <c r="E14" s="279">
        <v>15709</v>
      </c>
      <c r="F14" s="279">
        <v>106</v>
      </c>
      <c r="G14" s="315">
        <f t="shared" si="0"/>
        <v>0.9598557986068679</v>
      </c>
      <c r="H14" s="397"/>
      <c r="I14" s="397"/>
      <c r="J14" s="397"/>
      <c r="K14" s="279">
        <v>1</v>
      </c>
      <c r="L14" s="514">
        <v>134</v>
      </c>
      <c r="M14" s="518">
        <f t="shared" si="1"/>
        <v>0.7910447761194029</v>
      </c>
      <c r="N14" s="518">
        <f t="shared" si="2"/>
        <v>0.7910447761194029</v>
      </c>
    </row>
    <row r="15" spans="1:14" s="476" customFormat="1" ht="31.5" customHeight="1">
      <c r="A15" s="279">
        <v>6</v>
      </c>
      <c r="B15" s="281" t="s">
        <v>165</v>
      </c>
      <c r="C15" s="279">
        <v>7140</v>
      </c>
      <c r="D15" s="279">
        <v>7140</v>
      </c>
      <c r="E15" s="279">
        <v>6679</v>
      </c>
      <c r="F15" s="279">
        <v>134</v>
      </c>
      <c r="G15" s="315">
        <f t="shared" si="0"/>
        <v>0.9354341736694678</v>
      </c>
      <c r="H15" s="397">
        <v>95</v>
      </c>
      <c r="I15" s="397"/>
      <c r="J15" s="397"/>
      <c r="K15" s="279">
        <v>10</v>
      </c>
      <c r="L15" s="514">
        <v>106</v>
      </c>
      <c r="M15" s="518">
        <f t="shared" si="1"/>
        <v>1.2641509433962264</v>
      </c>
      <c r="N15" s="518">
        <f t="shared" si="2"/>
        <v>1.2641509433962264</v>
      </c>
    </row>
    <row r="16" spans="1:14" s="476" customFormat="1" ht="31.5" customHeight="1">
      <c r="A16" s="279">
        <v>7</v>
      </c>
      <c r="B16" s="281" t="s">
        <v>167</v>
      </c>
      <c r="C16" s="279">
        <v>24402</v>
      </c>
      <c r="D16" s="279">
        <v>24402</v>
      </c>
      <c r="E16" s="279">
        <v>22843</v>
      </c>
      <c r="F16" s="279">
        <v>797</v>
      </c>
      <c r="G16" s="315">
        <f t="shared" si="0"/>
        <v>0.9361117941152365</v>
      </c>
      <c r="H16" s="397"/>
      <c r="I16" s="397"/>
      <c r="J16" s="397"/>
      <c r="K16" s="279">
        <v>12</v>
      </c>
      <c r="L16" s="514">
        <v>812</v>
      </c>
      <c r="M16" s="518">
        <f t="shared" si="1"/>
        <v>0.9815270935960592</v>
      </c>
      <c r="N16" s="518">
        <f t="shared" si="2"/>
        <v>0.9815270935960592</v>
      </c>
    </row>
    <row r="17" spans="1:14" s="476" customFormat="1" ht="31.5" customHeight="1">
      <c r="A17" s="279">
        <v>8</v>
      </c>
      <c r="B17" s="281" t="s">
        <v>168</v>
      </c>
      <c r="C17" s="279">
        <v>29991</v>
      </c>
      <c r="D17" s="279">
        <v>29991</v>
      </c>
      <c r="E17" s="279">
        <v>28300</v>
      </c>
      <c r="F17" s="279">
        <v>396</v>
      </c>
      <c r="G17" s="315">
        <f t="shared" si="0"/>
        <v>0.9436164182588109</v>
      </c>
      <c r="H17" s="397"/>
      <c r="I17" s="397"/>
      <c r="J17" s="397">
        <v>177</v>
      </c>
      <c r="K17" s="279">
        <v>14</v>
      </c>
      <c r="L17" s="514">
        <v>353</v>
      </c>
      <c r="M17" s="518">
        <f t="shared" si="1"/>
        <v>1.1218130311614731</v>
      </c>
      <c r="N17" s="518">
        <f t="shared" si="2"/>
        <v>1.1218130311614731</v>
      </c>
    </row>
    <row r="18" spans="1:14" s="476" customFormat="1" ht="31.5" customHeight="1">
      <c r="A18" s="279">
        <v>9</v>
      </c>
      <c r="B18" s="281" t="s">
        <v>169</v>
      </c>
      <c r="C18" s="279">
        <f>15287-77</f>
        <v>15210</v>
      </c>
      <c r="D18" s="279">
        <f>15287-77</f>
        <v>15210</v>
      </c>
      <c r="E18" s="279">
        <v>15146</v>
      </c>
      <c r="F18" s="279">
        <v>0</v>
      </c>
      <c r="G18" s="315">
        <f t="shared" si="0"/>
        <v>0.9957922419460881</v>
      </c>
      <c r="H18" s="397"/>
      <c r="I18" s="397"/>
      <c r="J18" s="397">
        <v>222</v>
      </c>
      <c r="K18" s="279">
        <v>3</v>
      </c>
      <c r="L18" s="514">
        <v>245</v>
      </c>
      <c r="M18" s="518">
        <f t="shared" si="1"/>
        <v>0</v>
      </c>
      <c r="N18" s="518">
        <f t="shared" si="2"/>
        <v>0</v>
      </c>
    </row>
    <row r="19" spans="1:14" s="477" customFormat="1" ht="31.5" customHeight="1">
      <c r="A19" s="279">
        <v>10</v>
      </c>
      <c r="B19" s="281" t="s">
        <v>170</v>
      </c>
      <c r="C19" s="279">
        <v>41669</v>
      </c>
      <c r="D19" s="279">
        <v>41669</v>
      </c>
      <c r="E19" s="279">
        <v>39746</v>
      </c>
      <c r="F19" s="279">
        <v>82</v>
      </c>
      <c r="G19" s="315">
        <f t="shared" si="0"/>
        <v>0.9538505843672754</v>
      </c>
      <c r="H19" s="397">
        <v>484</v>
      </c>
      <c r="I19" s="397"/>
      <c r="J19" s="397"/>
      <c r="K19" s="279">
        <v>5</v>
      </c>
      <c r="L19" s="514">
        <v>0</v>
      </c>
      <c r="M19" s="518" t="e">
        <f t="shared" si="1"/>
        <v>#DIV/0!</v>
      </c>
      <c r="N19" s="518" t="e">
        <f t="shared" si="2"/>
        <v>#DIV/0!</v>
      </c>
    </row>
    <row r="20" spans="1:14" s="476" customFormat="1" ht="31.5" customHeight="1">
      <c r="A20" s="279">
        <v>11</v>
      </c>
      <c r="B20" s="281" t="s">
        <v>172</v>
      </c>
      <c r="C20" s="279">
        <v>18170</v>
      </c>
      <c r="D20" s="279">
        <v>18170</v>
      </c>
      <c r="E20" s="279">
        <v>17849</v>
      </c>
      <c r="F20" s="279">
        <v>13</v>
      </c>
      <c r="G20" s="315">
        <f t="shared" si="0"/>
        <v>0.9823335167859109</v>
      </c>
      <c r="H20" s="397">
        <v>262</v>
      </c>
      <c r="I20" s="397">
        <v>197</v>
      </c>
      <c r="J20" s="397">
        <v>393</v>
      </c>
      <c r="K20" s="279">
        <v>4</v>
      </c>
      <c r="L20" s="514">
        <v>950</v>
      </c>
      <c r="M20" s="518">
        <f t="shared" si="1"/>
        <v>0.01368421052631579</v>
      </c>
      <c r="N20" s="518">
        <f t="shared" si="2"/>
        <v>0.01368421052631579</v>
      </c>
    </row>
    <row r="21" spans="1:14" s="476" customFormat="1" ht="31.5" customHeight="1">
      <c r="A21" s="279">
        <v>12</v>
      </c>
      <c r="B21" s="281" t="s">
        <v>173</v>
      </c>
      <c r="C21" s="279">
        <v>35506</v>
      </c>
      <c r="D21" s="279">
        <v>35506</v>
      </c>
      <c r="E21" s="279">
        <v>33007</v>
      </c>
      <c r="F21" s="279">
        <v>78</v>
      </c>
      <c r="G21" s="315">
        <f t="shared" si="0"/>
        <v>0.9296175294316453</v>
      </c>
      <c r="H21" s="397">
        <v>579</v>
      </c>
      <c r="I21" s="397"/>
      <c r="J21" s="397">
        <v>123</v>
      </c>
      <c r="K21" s="279">
        <v>9</v>
      </c>
      <c r="L21" s="514">
        <v>152</v>
      </c>
      <c r="M21" s="518">
        <f t="shared" si="1"/>
        <v>0.5131578947368421</v>
      </c>
      <c r="N21" s="518">
        <f t="shared" si="2"/>
        <v>0.5131578947368421</v>
      </c>
    </row>
    <row r="22" spans="1:14" s="476" customFormat="1" ht="31.5" customHeight="1">
      <c r="A22" s="279">
        <v>13</v>
      </c>
      <c r="B22" s="281" t="s">
        <v>174</v>
      </c>
      <c r="C22" s="279">
        <v>28580</v>
      </c>
      <c r="D22" s="279">
        <v>28580</v>
      </c>
      <c r="E22" s="279">
        <v>24909</v>
      </c>
      <c r="F22" s="279">
        <v>368</v>
      </c>
      <c r="G22" s="315">
        <f t="shared" si="0"/>
        <v>0.871553533939818</v>
      </c>
      <c r="H22" s="397"/>
      <c r="I22" s="397"/>
      <c r="J22" s="397"/>
      <c r="K22" s="279">
        <v>13</v>
      </c>
      <c r="L22" s="514">
        <v>430</v>
      </c>
      <c r="M22" s="518">
        <f t="shared" si="1"/>
        <v>0.8558139534883721</v>
      </c>
      <c r="N22" s="518">
        <f t="shared" si="2"/>
        <v>0.8558139534883721</v>
      </c>
    </row>
    <row r="23" spans="1:14" s="476" customFormat="1" ht="31.5" customHeight="1">
      <c r="A23" s="286">
        <v>14</v>
      </c>
      <c r="B23" s="285" t="s">
        <v>175</v>
      </c>
      <c r="C23" s="286">
        <v>12262</v>
      </c>
      <c r="D23" s="286">
        <v>12262</v>
      </c>
      <c r="E23" s="286">
        <v>11856</v>
      </c>
      <c r="F23" s="286">
        <v>162</v>
      </c>
      <c r="G23" s="508">
        <f t="shared" si="0"/>
        <v>0.9668895775566791</v>
      </c>
      <c r="H23" s="397">
        <v>1446</v>
      </c>
      <c r="I23" s="397"/>
      <c r="J23" s="397"/>
      <c r="K23" s="286">
        <v>2</v>
      </c>
      <c r="L23" s="514">
        <v>6</v>
      </c>
      <c r="M23" s="518">
        <f t="shared" si="1"/>
        <v>27</v>
      </c>
      <c r="N23" s="518">
        <f t="shared" si="2"/>
        <v>27</v>
      </c>
    </row>
    <row r="24" spans="1:14" s="476" customFormat="1" ht="31.5" customHeight="1">
      <c r="A24" s="290">
        <v>15</v>
      </c>
      <c r="B24" s="494" t="s">
        <v>176</v>
      </c>
      <c r="C24" s="290">
        <v>2067</v>
      </c>
      <c r="D24" s="290">
        <v>2067</v>
      </c>
      <c r="E24" s="290">
        <v>1340</v>
      </c>
      <c r="F24" s="290"/>
      <c r="G24" s="509">
        <f t="shared" si="0"/>
        <v>0.6482825350749879</v>
      </c>
      <c r="H24" s="507"/>
      <c r="I24" s="507"/>
      <c r="J24" s="507"/>
      <c r="K24" s="515"/>
      <c r="L24" s="513">
        <v>1984</v>
      </c>
      <c r="M24" s="518">
        <f t="shared" si="1"/>
        <v>0</v>
      </c>
      <c r="N24" s="518">
        <f t="shared" si="2"/>
        <v>0</v>
      </c>
    </row>
    <row r="25" spans="1:230" s="476" customFormat="1" ht="31.5" customHeight="1">
      <c r="A25" s="290">
        <v>16</v>
      </c>
      <c r="B25" s="281" t="s">
        <v>177</v>
      </c>
      <c r="C25" s="279">
        <v>247</v>
      </c>
      <c r="D25" s="279">
        <v>247</v>
      </c>
      <c r="E25" s="279">
        <v>247</v>
      </c>
      <c r="F25" s="279"/>
      <c r="G25" s="315">
        <f t="shared" si="0"/>
        <v>1</v>
      </c>
      <c r="H25" s="507"/>
      <c r="I25" s="507"/>
      <c r="J25" s="507"/>
      <c r="K25" s="507"/>
      <c r="L25" s="513">
        <f>SUM(L10:L24)</f>
        <v>9390</v>
      </c>
      <c r="M25" s="520"/>
      <c r="N25" s="513"/>
      <c r="HU25" s="478"/>
      <c r="HV25" s="478"/>
    </row>
    <row r="26" spans="1:2" ht="37.5" customHeight="1">
      <c r="A26" s="495" t="s">
        <v>191</v>
      </c>
      <c r="B26" s="495"/>
    </row>
    <row r="27" spans="1:7" ht="15.75" customHeight="1">
      <c r="A27" s="496"/>
      <c r="B27" s="496"/>
      <c r="C27" s="496"/>
      <c r="D27" s="496"/>
      <c r="E27" s="496"/>
      <c r="F27" s="496"/>
      <c r="G27" s="496"/>
    </row>
    <row r="29" ht="13.5">
      <c r="L29" s="479"/>
    </row>
  </sheetData>
  <sheetProtection/>
  <mergeCells count="17">
    <mergeCell ref="A1:B1"/>
    <mergeCell ref="A2:N2"/>
    <mergeCell ref="A3:N3"/>
    <mergeCell ref="E5:F5"/>
    <mergeCell ref="A8:B8"/>
    <mergeCell ref="A9:B9"/>
    <mergeCell ref="A27:G27"/>
    <mergeCell ref="A5:A7"/>
    <mergeCell ref="B5:B7"/>
    <mergeCell ref="C5:C7"/>
    <mergeCell ref="D5:D7"/>
    <mergeCell ref="F6:F7"/>
    <mergeCell ref="G5:G7"/>
    <mergeCell ref="H5:H7"/>
    <mergeCell ref="I5:I7"/>
    <mergeCell ref="J5:J7"/>
    <mergeCell ref="K5:K7"/>
  </mergeCells>
  <printOptions/>
  <pageMargins left="0.7083333333333334" right="0.7083333333333334" top="0.9840277777777777" bottom="1.1805555555555556" header="0.5" footer="0.5"/>
  <pageSetup fitToHeight="0" fitToWidth="1" horizontalDpi="600" verticalDpi="600" orientation="portrait" paperSize="9" scale="86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D28"/>
  <sheetViews>
    <sheetView tabSelected="1" zoomScale="55" zoomScaleNormal="55" zoomScaleSheetLayoutView="100" workbookViewId="0" topLeftCell="A1">
      <pane ySplit="7" topLeftCell="A8" activePane="bottomLeft" state="frozen"/>
      <selection pane="bottomLeft" activeCell="A3" sqref="A3:P3"/>
    </sheetView>
  </sheetViews>
  <sheetFormatPr defaultColWidth="9.00390625" defaultRowHeight="15"/>
  <cols>
    <col min="1" max="1" width="16.8515625" style="254" customWidth="1"/>
    <col min="2" max="2" width="23.421875" style="254" customWidth="1"/>
    <col min="3" max="3" width="20.421875" style="254" customWidth="1"/>
    <col min="4" max="4" width="22.7109375" style="254" customWidth="1"/>
    <col min="5" max="5" width="18.57421875" style="254" customWidth="1"/>
    <col min="6" max="6" width="15.8515625" style="254" customWidth="1"/>
    <col min="7" max="7" width="19.7109375" style="254" customWidth="1"/>
    <col min="8" max="10" width="19.7109375" style="254" hidden="1" customWidth="1"/>
    <col min="11" max="11" width="19.421875" style="254" customWidth="1"/>
    <col min="12" max="12" width="14.140625" style="254" hidden="1" customWidth="1"/>
    <col min="13" max="13" width="11.8515625" style="254" hidden="1" customWidth="1"/>
    <col min="14" max="14" width="13.8515625" style="254" hidden="1" customWidth="1"/>
    <col min="15" max="15" width="22.421875" style="254" customWidth="1"/>
    <col min="16" max="16" width="9.421875" style="254" hidden="1" customWidth="1"/>
    <col min="17" max="17" width="10.421875" style="254" bestFit="1" customWidth="1"/>
    <col min="18" max="18" width="14.140625" style="254" customWidth="1"/>
    <col min="19" max="19" width="21.421875" style="254" hidden="1" customWidth="1"/>
    <col min="20" max="20" width="20.57421875" style="254" hidden="1" customWidth="1"/>
    <col min="21" max="22" width="23.00390625" style="254" hidden="1" customWidth="1"/>
    <col min="23" max="23" width="20.00390625" style="254" hidden="1" customWidth="1"/>
    <col min="24" max="26" width="14.140625" style="254" hidden="1" customWidth="1"/>
    <col min="27" max="27" width="34.28125" style="254" hidden="1" customWidth="1"/>
    <col min="28" max="30" width="14.140625" style="254" hidden="1" customWidth="1"/>
    <col min="31" max="35" width="14.140625" style="254" customWidth="1"/>
    <col min="36" max="16384" width="9.00390625" style="254" customWidth="1"/>
  </cols>
  <sheetData>
    <row r="1" spans="1:2" s="357" customFormat="1" ht="33.75">
      <c r="A1" s="419" t="s">
        <v>192</v>
      </c>
      <c r="B1" s="419"/>
    </row>
    <row r="2" spans="1:16" s="357" customFormat="1" ht="82.5" customHeight="1">
      <c r="A2" s="360" t="s">
        <v>193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s="357" customFormat="1" ht="30.75" customHeight="1">
      <c r="A3" s="420" t="s">
        <v>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1:16" s="358" customFormat="1" ht="24.75" customHeight="1">
      <c r="A4" s="421" t="s">
        <v>3</v>
      </c>
      <c r="B4" s="422" t="s">
        <v>194</v>
      </c>
      <c r="C4" s="423"/>
      <c r="D4" s="423"/>
      <c r="E4" s="423"/>
      <c r="F4" s="422" t="s">
        <v>195</v>
      </c>
      <c r="G4" s="423"/>
      <c r="H4" s="423"/>
      <c r="I4" s="423"/>
      <c r="J4" s="423"/>
      <c r="K4" s="423"/>
      <c r="L4" s="452" t="s">
        <v>196</v>
      </c>
      <c r="M4" s="448"/>
      <c r="N4" s="448"/>
      <c r="O4" s="421" t="s">
        <v>197</v>
      </c>
      <c r="P4" s="457" t="s">
        <v>7</v>
      </c>
    </row>
    <row r="5" spans="1:16" s="358" customFormat="1" ht="27.75" customHeight="1">
      <c r="A5" s="424"/>
      <c r="B5" s="425"/>
      <c r="C5" s="426"/>
      <c r="D5" s="426"/>
      <c r="E5" s="444"/>
      <c r="F5" s="425"/>
      <c r="G5" s="444"/>
      <c r="H5" s="444"/>
      <c r="I5" s="444"/>
      <c r="J5" s="444"/>
      <c r="K5" s="444"/>
      <c r="L5" s="453"/>
      <c r="M5" s="448"/>
      <c r="N5" s="448"/>
      <c r="O5" s="424"/>
      <c r="P5" s="397"/>
    </row>
    <row r="6" spans="1:16" s="358" customFormat="1" ht="36.75" customHeight="1">
      <c r="A6" s="424"/>
      <c r="B6" s="427" t="s">
        <v>198</v>
      </c>
      <c r="C6" s="422" t="s">
        <v>199</v>
      </c>
      <c r="D6" s="428"/>
      <c r="E6" s="445" t="s">
        <v>200</v>
      </c>
      <c r="F6" s="427" t="s">
        <v>201</v>
      </c>
      <c r="G6" s="421" t="s">
        <v>202</v>
      </c>
      <c r="H6" s="421"/>
      <c r="I6" s="421"/>
      <c r="J6" s="421"/>
      <c r="K6" s="421" t="s">
        <v>203</v>
      </c>
      <c r="L6" s="452" t="s">
        <v>56</v>
      </c>
      <c r="M6" s="421" t="s">
        <v>204</v>
      </c>
      <c r="N6" s="458" t="s">
        <v>203</v>
      </c>
      <c r="O6" s="424"/>
      <c r="P6" s="397"/>
    </row>
    <row r="7" spans="1:16" s="358" customFormat="1" ht="52.5" customHeight="1">
      <c r="A7" s="424"/>
      <c r="B7" s="429"/>
      <c r="C7" s="430"/>
      <c r="D7" s="431" t="s">
        <v>205</v>
      </c>
      <c r="E7" s="446"/>
      <c r="F7" s="447"/>
      <c r="G7" s="448"/>
      <c r="H7" s="448"/>
      <c r="I7" s="448"/>
      <c r="J7" s="448"/>
      <c r="K7" s="448"/>
      <c r="L7" s="453"/>
      <c r="M7" s="448"/>
      <c r="N7" s="168"/>
      <c r="O7" s="424"/>
      <c r="P7" s="397"/>
    </row>
    <row r="8" spans="1:16" s="358" customFormat="1" ht="34.5" customHeight="1">
      <c r="A8" s="432" t="s">
        <v>184</v>
      </c>
      <c r="B8" s="433" t="s">
        <v>185</v>
      </c>
      <c r="C8" s="434" t="s">
        <v>186</v>
      </c>
      <c r="D8" s="434" t="s">
        <v>188</v>
      </c>
      <c r="E8" s="433" t="s">
        <v>206</v>
      </c>
      <c r="F8" s="433" t="s">
        <v>207</v>
      </c>
      <c r="G8" s="433" t="s">
        <v>208</v>
      </c>
      <c r="H8" s="433"/>
      <c r="I8" s="433"/>
      <c r="J8" s="433"/>
      <c r="K8" s="433" t="s">
        <v>209</v>
      </c>
      <c r="L8" s="433" t="s">
        <v>208</v>
      </c>
      <c r="M8" s="433" t="s">
        <v>210</v>
      </c>
      <c r="N8" s="433" t="s">
        <v>18</v>
      </c>
      <c r="O8" s="433" t="s">
        <v>211</v>
      </c>
      <c r="P8" s="375" t="s">
        <v>212</v>
      </c>
    </row>
    <row r="9" spans="1:20" s="358" customFormat="1" ht="48.75" customHeight="1" hidden="1">
      <c r="A9" s="435" t="s">
        <v>19</v>
      </c>
      <c r="B9" s="436">
        <f>B10</f>
        <v>22693</v>
      </c>
      <c r="C9" s="437">
        <f>SUM(C11:C24)</f>
        <v>13919</v>
      </c>
      <c r="D9" s="437"/>
      <c r="E9" s="449">
        <f aca="true" t="shared" si="0" ref="E9:E24">C9/B9</f>
        <v>0.6133609483100516</v>
      </c>
      <c r="F9" s="436">
        <f>F10</f>
        <v>52800</v>
      </c>
      <c r="G9" s="436">
        <f>G10</f>
        <v>5179</v>
      </c>
      <c r="H9" s="436"/>
      <c r="I9" s="436"/>
      <c r="J9" s="436"/>
      <c r="K9" s="454">
        <f aca="true" t="shared" si="1" ref="K9:K24">G9/F9</f>
        <v>0.09808712121212121</v>
      </c>
      <c r="L9" s="436">
        <f>L10</f>
        <v>5696</v>
      </c>
      <c r="M9" s="436">
        <f>M10</f>
        <v>6046</v>
      </c>
      <c r="N9" s="459">
        <f>M9/L9</f>
        <v>1.0614466292134832</v>
      </c>
      <c r="O9" s="460">
        <f>O10</f>
        <v>30.328222807999996</v>
      </c>
      <c r="P9" s="401"/>
      <c r="T9" s="467"/>
    </row>
    <row r="10" spans="1:29" s="357" customFormat="1" ht="64.5" customHeight="1">
      <c r="A10" s="421" t="s">
        <v>65</v>
      </c>
      <c r="B10" s="436">
        <f>SUM(B11:B24)</f>
        <v>22693</v>
      </c>
      <c r="C10" s="436">
        <f>SUM(C11:C24)</f>
        <v>13919</v>
      </c>
      <c r="D10" s="436">
        <f>SUM(D11:D24)</f>
        <v>706</v>
      </c>
      <c r="E10" s="449">
        <f t="shared" si="0"/>
        <v>0.6133609483100516</v>
      </c>
      <c r="F10" s="436">
        <f>SUM(F11:F25)</f>
        <v>52800</v>
      </c>
      <c r="G10" s="436">
        <f>SUM(G11:G25)</f>
        <v>5179</v>
      </c>
      <c r="H10" s="436"/>
      <c r="I10" s="436"/>
      <c r="J10" s="436"/>
      <c r="K10" s="454">
        <f t="shared" si="1"/>
        <v>0.09808712121212121</v>
      </c>
      <c r="L10" s="436">
        <f>SUM(L11:L26)</f>
        <v>5696</v>
      </c>
      <c r="M10" s="436">
        <f>SUM(M11:M24)</f>
        <v>6046</v>
      </c>
      <c r="N10" s="459">
        <f>M10/L10</f>
        <v>1.0614466292134832</v>
      </c>
      <c r="O10" s="461">
        <f>SUM(O11:O26)</f>
        <v>30.328222807999996</v>
      </c>
      <c r="P10" s="404"/>
      <c r="Q10" s="412"/>
      <c r="S10" s="468" t="s">
        <v>213</v>
      </c>
      <c r="T10" s="468" t="s">
        <v>214</v>
      </c>
      <c r="U10" s="471" t="s">
        <v>215</v>
      </c>
      <c r="V10" s="468" t="s">
        <v>216</v>
      </c>
      <c r="W10" s="471" t="s">
        <v>217</v>
      </c>
      <c r="X10" s="468" t="s">
        <v>218</v>
      </c>
      <c r="Y10" s="468" t="s">
        <v>219</v>
      </c>
      <c r="Z10" s="468" t="s">
        <v>220</v>
      </c>
      <c r="AA10" s="471" t="s">
        <v>221</v>
      </c>
      <c r="AC10" s="471" t="s">
        <v>222</v>
      </c>
    </row>
    <row r="11" spans="1:30" s="357" customFormat="1" ht="54.75" customHeight="1">
      <c r="A11" s="438" t="s">
        <v>22</v>
      </c>
      <c r="B11" s="439">
        <v>8000</v>
      </c>
      <c r="C11" s="440">
        <v>6777</v>
      </c>
      <c r="D11" s="440">
        <v>314</v>
      </c>
      <c r="E11" s="450">
        <f t="shared" si="0"/>
        <v>0.847125</v>
      </c>
      <c r="F11" s="439">
        <v>6500</v>
      </c>
      <c r="G11" s="451">
        <f>3345</f>
        <v>3345</v>
      </c>
      <c r="H11" s="451">
        <v>6664</v>
      </c>
      <c r="I11" s="451">
        <f>G11-H11</f>
        <v>-3319</v>
      </c>
      <c r="J11" s="455">
        <f>G11/H11</f>
        <v>0.5019507803121248</v>
      </c>
      <c r="K11" s="456">
        <f t="shared" si="1"/>
        <v>0.5146153846153846</v>
      </c>
      <c r="L11" s="167">
        <v>3538</v>
      </c>
      <c r="M11" s="462">
        <v>3538</v>
      </c>
      <c r="N11" s="463">
        <f>M11/L11</f>
        <v>1</v>
      </c>
      <c r="O11" s="455">
        <v>5.677547</v>
      </c>
      <c r="P11" s="404"/>
      <c r="R11" s="414"/>
      <c r="S11" s="469">
        <v>9063</v>
      </c>
      <c r="T11" s="469">
        <v>2454</v>
      </c>
      <c r="U11" s="472">
        <f>D11-T11</f>
        <v>-2140</v>
      </c>
      <c r="V11" s="470">
        <v>9278</v>
      </c>
      <c r="W11" s="440">
        <f>V11-S11</f>
        <v>215</v>
      </c>
      <c r="X11" s="440">
        <v>1640</v>
      </c>
      <c r="Y11" s="440">
        <v>1640</v>
      </c>
      <c r="Z11" s="440">
        <v>0</v>
      </c>
      <c r="AA11" s="440">
        <f>W11-U11</f>
        <v>2355</v>
      </c>
      <c r="AC11" s="441">
        <v>53.752553000000006</v>
      </c>
      <c r="AD11" s="474">
        <f>O11-AC11</f>
        <v>-48.07500600000001</v>
      </c>
    </row>
    <row r="12" spans="1:30" s="357" customFormat="1" ht="54.75" customHeight="1">
      <c r="A12" s="438" t="s">
        <v>23</v>
      </c>
      <c r="B12" s="439">
        <v>5014</v>
      </c>
      <c r="C12" s="440">
        <v>5098</v>
      </c>
      <c r="D12" s="440">
        <v>279</v>
      </c>
      <c r="E12" s="450">
        <f t="shared" si="0"/>
        <v>1.0167530913442362</v>
      </c>
      <c r="F12" s="439">
        <v>3500</v>
      </c>
      <c r="G12" s="451">
        <v>0</v>
      </c>
      <c r="H12" s="451">
        <v>8052</v>
      </c>
      <c r="I12" s="451">
        <f aca="true" t="shared" si="2" ref="I12:I24">G12-H12</f>
        <v>-8052</v>
      </c>
      <c r="J12" s="455">
        <f aca="true" t="shared" si="3" ref="J12:J24">G12/H12</f>
        <v>0</v>
      </c>
      <c r="K12" s="456">
        <f t="shared" si="1"/>
        <v>0</v>
      </c>
      <c r="L12" s="167" t="s">
        <v>21</v>
      </c>
      <c r="M12" s="462">
        <v>0</v>
      </c>
      <c r="N12" s="463" t="s">
        <v>21</v>
      </c>
      <c r="O12" s="455">
        <v>5.6628</v>
      </c>
      <c r="P12" s="404"/>
      <c r="R12" s="414"/>
      <c r="S12" s="470">
        <v>6111</v>
      </c>
      <c r="T12" s="470">
        <v>2623</v>
      </c>
      <c r="U12" s="440">
        <f aca="true" t="shared" si="4" ref="U12:U24">D12-T12</f>
        <v>-2344</v>
      </c>
      <c r="V12" s="470">
        <v>6187</v>
      </c>
      <c r="W12" s="440">
        <f aca="true" t="shared" si="5" ref="W12:W24">V12-S12</f>
        <v>76</v>
      </c>
      <c r="X12" s="470">
        <v>1127</v>
      </c>
      <c r="Y12" s="470">
        <v>1253</v>
      </c>
      <c r="Z12" s="470">
        <v>126</v>
      </c>
      <c r="AA12" s="470">
        <f>W12-U12</f>
        <v>2420</v>
      </c>
      <c r="AB12" s="473"/>
      <c r="AC12" s="441">
        <v>24.7259</v>
      </c>
      <c r="AD12" s="475">
        <f aca="true" t="shared" si="6" ref="AD12:AD24">O12-AC12</f>
        <v>-19.0631</v>
      </c>
    </row>
    <row r="13" spans="1:30" s="357" customFormat="1" ht="54.75" customHeight="1">
      <c r="A13" s="438" t="s">
        <v>24</v>
      </c>
      <c r="B13" s="439">
        <v>2366</v>
      </c>
      <c r="C13" s="440">
        <v>1210</v>
      </c>
      <c r="D13" s="441">
        <v>38</v>
      </c>
      <c r="E13" s="450">
        <f t="shared" si="0"/>
        <v>0.5114116652578191</v>
      </c>
      <c r="F13" s="439">
        <v>2800</v>
      </c>
      <c r="G13" s="451">
        <f>53</f>
        <v>53</v>
      </c>
      <c r="H13" s="451">
        <v>1206</v>
      </c>
      <c r="I13" s="451">
        <f t="shared" si="2"/>
        <v>-1153</v>
      </c>
      <c r="J13" s="455">
        <f t="shared" si="3"/>
        <v>0.0439469320066335</v>
      </c>
      <c r="K13" s="456">
        <f t="shared" si="1"/>
        <v>0.01892857142857143</v>
      </c>
      <c r="L13" s="167">
        <v>1600</v>
      </c>
      <c r="M13" s="462">
        <v>1950</v>
      </c>
      <c r="N13" s="463">
        <f>M13/L13</f>
        <v>1.21875</v>
      </c>
      <c r="O13" s="455">
        <v>3.4112740000000006</v>
      </c>
      <c r="P13" s="404"/>
      <c r="R13" s="414"/>
      <c r="S13" s="470">
        <v>2180</v>
      </c>
      <c r="T13" s="470">
        <v>510</v>
      </c>
      <c r="U13" s="472">
        <f t="shared" si="4"/>
        <v>-472</v>
      </c>
      <c r="V13" s="470">
        <v>2314</v>
      </c>
      <c r="W13" s="440">
        <f t="shared" si="5"/>
        <v>134</v>
      </c>
      <c r="X13" s="440">
        <v>248</v>
      </c>
      <c r="Y13" s="440">
        <v>331</v>
      </c>
      <c r="Z13" s="440">
        <v>83</v>
      </c>
      <c r="AA13" s="470">
        <f aca="true" t="shared" si="7" ref="AA13:AA24">W13-U13</f>
        <v>606</v>
      </c>
      <c r="AC13" s="441">
        <v>12.6702</v>
      </c>
      <c r="AD13" s="475">
        <f t="shared" si="6"/>
        <v>-9.258925999999999</v>
      </c>
    </row>
    <row r="14" spans="1:30" s="357" customFormat="1" ht="54.75" customHeight="1">
      <c r="A14" s="438" t="s">
        <v>25</v>
      </c>
      <c r="B14" s="439">
        <v>203</v>
      </c>
      <c r="C14" s="440">
        <v>169</v>
      </c>
      <c r="D14" s="440">
        <v>11</v>
      </c>
      <c r="E14" s="450">
        <f t="shared" si="0"/>
        <v>0.8325123152709359</v>
      </c>
      <c r="F14" s="439">
        <v>3000</v>
      </c>
      <c r="G14" s="451">
        <v>232</v>
      </c>
      <c r="H14" s="451">
        <v>608</v>
      </c>
      <c r="I14" s="451">
        <f t="shared" si="2"/>
        <v>-376</v>
      </c>
      <c r="J14" s="455">
        <f t="shared" si="3"/>
        <v>0.3815789473684211</v>
      </c>
      <c r="K14" s="456">
        <f t="shared" si="1"/>
        <v>0.07733333333333334</v>
      </c>
      <c r="L14" s="167" t="s">
        <v>21</v>
      </c>
      <c r="M14" s="462">
        <v>0</v>
      </c>
      <c r="N14" s="463" t="s">
        <v>21</v>
      </c>
      <c r="O14" s="455">
        <v>0.955781</v>
      </c>
      <c r="P14" s="407"/>
      <c r="R14" s="414"/>
      <c r="S14" s="470">
        <v>311</v>
      </c>
      <c r="T14" s="470">
        <v>210</v>
      </c>
      <c r="U14" s="472">
        <f t="shared" si="4"/>
        <v>-199</v>
      </c>
      <c r="V14" s="470">
        <v>334</v>
      </c>
      <c r="W14" s="440">
        <f t="shared" si="5"/>
        <v>23</v>
      </c>
      <c r="X14" s="470">
        <v>120</v>
      </c>
      <c r="Y14" s="470">
        <v>125</v>
      </c>
      <c r="Z14" s="470">
        <v>5</v>
      </c>
      <c r="AA14" s="470">
        <f t="shared" si="7"/>
        <v>222</v>
      </c>
      <c r="AC14" s="441">
        <v>3.84606</v>
      </c>
      <c r="AD14" s="475">
        <f t="shared" si="6"/>
        <v>-2.890279</v>
      </c>
    </row>
    <row r="15" spans="1:30" s="357" customFormat="1" ht="54.75" customHeight="1">
      <c r="A15" s="438" t="s">
        <v>26</v>
      </c>
      <c r="B15" s="439">
        <v>435</v>
      </c>
      <c r="C15" s="440">
        <v>0</v>
      </c>
      <c r="D15" s="440">
        <v>0</v>
      </c>
      <c r="E15" s="450">
        <f t="shared" si="0"/>
        <v>0</v>
      </c>
      <c r="F15" s="439">
        <v>2100</v>
      </c>
      <c r="G15" s="451">
        <v>0</v>
      </c>
      <c r="H15" s="451">
        <v>255</v>
      </c>
      <c r="I15" s="451">
        <f t="shared" si="2"/>
        <v>-255</v>
      </c>
      <c r="J15" s="455">
        <f t="shared" si="3"/>
        <v>0</v>
      </c>
      <c r="K15" s="456">
        <f t="shared" si="1"/>
        <v>0</v>
      </c>
      <c r="L15" s="167">
        <v>558</v>
      </c>
      <c r="M15" s="462">
        <v>558</v>
      </c>
      <c r="N15" s="464">
        <f>M15/L15</f>
        <v>1</v>
      </c>
      <c r="O15" s="455">
        <v>1.03248571</v>
      </c>
      <c r="P15" s="404"/>
      <c r="R15" s="414"/>
      <c r="S15" s="470">
        <v>527</v>
      </c>
      <c r="T15" s="470">
        <v>23</v>
      </c>
      <c r="U15" s="472">
        <f t="shared" si="4"/>
        <v>-23</v>
      </c>
      <c r="V15" s="470">
        <v>544</v>
      </c>
      <c r="W15" s="440">
        <f t="shared" si="5"/>
        <v>17</v>
      </c>
      <c r="X15" s="440">
        <v>47</v>
      </c>
      <c r="Y15" s="440">
        <v>47</v>
      </c>
      <c r="Z15" s="440">
        <v>0</v>
      </c>
      <c r="AA15" s="470">
        <f t="shared" si="7"/>
        <v>40</v>
      </c>
      <c r="AC15" s="441">
        <v>8.108953</v>
      </c>
      <c r="AD15" s="475">
        <f t="shared" si="6"/>
        <v>-7.07646729</v>
      </c>
    </row>
    <row r="16" spans="1:30" s="357" customFormat="1" ht="54.75" customHeight="1">
      <c r="A16" s="438" t="s">
        <v>27</v>
      </c>
      <c r="B16" s="439">
        <v>331</v>
      </c>
      <c r="C16" s="440">
        <v>0</v>
      </c>
      <c r="D16" s="440">
        <v>0</v>
      </c>
      <c r="E16" s="450">
        <f t="shared" si="0"/>
        <v>0</v>
      </c>
      <c r="F16" s="439">
        <v>5500</v>
      </c>
      <c r="G16" s="451">
        <v>0</v>
      </c>
      <c r="H16" s="451">
        <v>1211</v>
      </c>
      <c r="I16" s="451">
        <f t="shared" si="2"/>
        <v>-1211</v>
      </c>
      <c r="J16" s="455">
        <f t="shared" si="3"/>
        <v>0</v>
      </c>
      <c r="K16" s="456">
        <f t="shared" si="1"/>
        <v>0</v>
      </c>
      <c r="L16" s="167" t="s">
        <v>21</v>
      </c>
      <c r="M16" s="462">
        <v>0</v>
      </c>
      <c r="N16" s="167" t="s">
        <v>21</v>
      </c>
      <c r="O16" s="455">
        <v>1.003625</v>
      </c>
      <c r="P16" s="404"/>
      <c r="R16" s="414"/>
      <c r="S16" s="470">
        <v>309</v>
      </c>
      <c r="T16" s="470">
        <v>9</v>
      </c>
      <c r="U16" s="472">
        <f t="shared" si="4"/>
        <v>-9</v>
      </c>
      <c r="V16" s="470">
        <v>323</v>
      </c>
      <c r="W16" s="440">
        <f t="shared" si="5"/>
        <v>14</v>
      </c>
      <c r="X16" s="440">
        <v>11</v>
      </c>
      <c r="Y16" s="440">
        <v>11</v>
      </c>
      <c r="Z16" s="440">
        <v>0</v>
      </c>
      <c r="AA16" s="470">
        <f t="shared" si="7"/>
        <v>23</v>
      </c>
      <c r="AC16" s="441">
        <v>2.7689</v>
      </c>
      <c r="AD16" s="475">
        <f t="shared" si="6"/>
        <v>-1.765275</v>
      </c>
    </row>
    <row r="17" spans="1:30" s="357" customFormat="1" ht="54.75" customHeight="1">
      <c r="A17" s="438" t="s">
        <v>28</v>
      </c>
      <c r="B17" s="439">
        <v>3249</v>
      </c>
      <c r="C17" s="440">
        <v>0</v>
      </c>
      <c r="D17" s="440">
        <v>0</v>
      </c>
      <c r="E17" s="450">
        <f t="shared" si="0"/>
        <v>0</v>
      </c>
      <c r="F17" s="439">
        <v>2500</v>
      </c>
      <c r="G17" s="451">
        <v>0</v>
      </c>
      <c r="H17" s="451">
        <v>736</v>
      </c>
      <c r="I17" s="451">
        <f t="shared" si="2"/>
        <v>-736</v>
      </c>
      <c r="J17" s="455">
        <f t="shared" si="3"/>
        <v>0</v>
      </c>
      <c r="K17" s="456">
        <f t="shared" si="1"/>
        <v>0</v>
      </c>
      <c r="L17" s="167" t="s">
        <v>21</v>
      </c>
      <c r="M17" s="462">
        <v>0</v>
      </c>
      <c r="N17" s="167" t="s">
        <v>21</v>
      </c>
      <c r="O17" s="455">
        <v>1.2324959999999998</v>
      </c>
      <c r="P17" s="404"/>
      <c r="R17" s="414"/>
      <c r="S17" s="470">
        <v>2925</v>
      </c>
      <c r="T17" s="470">
        <v>294</v>
      </c>
      <c r="U17" s="472">
        <f t="shared" si="4"/>
        <v>-294</v>
      </c>
      <c r="V17" s="470">
        <v>2945</v>
      </c>
      <c r="W17" s="440">
        <f t="shared" si="5"/>
        <v>20</v>
      </c>
      <c r="X17" s="440">
        <v>3670</v>
      </c>
      <c r="Y17" s="440">
        <v>3670</v>
      </c>
      <c r="Z17" s="440">
        <v>0</v>
      </c>
      <c r="AA17" s="440">
        <f t="shared" si="7"/>
        <v>314</v>
      </c>
      <c r="AC17" s="441">
        <v>5.4227</v>
      </c>
      <c r="AD17" s="475">
        <f t="shared" si="6"/>
        <v>-4.190204</v>
      </c>
    </row>
    <row r="18" spans="1:30" s="357" customFormat="1" ht="54.75" customHeight="1">
      <c r="A18" s="438" t="s">
        <v>29</v>
      </c>
      <c r="B18" s="439">
        <v>300</v>
      </c>
      <c r="C18" s="440">
        <v>179</v>
      </c>
      <c r="D18" s="440">
        <v>0</v>
      </c>
      <c r="E18" s="450">
        <f t="shared" si="0"/>
        <v>0.5966666666666667</v>
      </c>
      <c r="F18" s="439">
        <v>2300</v>
      </c>
      <c r="G18" s="451">
        <v>238</v>
      </c>
      <c r="H18" s="451">
        <v>5085</v>
      </c>
      <c r="I18" s="451">
        <f t="shared" si="2"/>
        <v>-4847</v>
      </c>
      <c r="J18" s="455">
        <f t="shared" si="3"/>
        <v>0.04680432645034415</v>
      </c>
      <c r="K18" s="456">
        <f t="shared" si="1"/>
        <v>0.10347826086956521</v>
      </c>
      <c r="L18" s="167" t="s">
        <v>21</v>
      </c>
      <c r="M18" s="462">
        <v>0</v>
      </c>
      <c r="N18" s="463" t="s">
        <v>21</v>
      </c>
      <c r="O18" s="455">
        <v>0.939718</v>
      </c>
      <c r="P18" s="404"/>
      <c r="R18" s="414"/>
      <c r="S18" s="470">
        <v>403</v>
      </c>
      <c r="T18" s="470">
        <v>287</v>
      </c>
      <c r="U18" s="469">
        <f t="shared" si="4"/>
        <v>-287</v>
      </c>
      <c r="V18" s="470">
        <v>406</v>
      </c>
      <c r="W18" s="440">
        <f t="shared" si="5"/>
        <v>3</v>
      </c>
      <c r="X18" s="440">
        <v>2</v>
      </c>
      <c r="Y18" s="440">
        <v>162</v>
      </c>
      <c r="Z18" s="440">
        <v>160</v>
      </c>
      <c r="AA18" s="440">
        <f t="shared" si="7"/>
        <v>290</v>
      </c>
      <c r="AC18" s="441">
        <v>5.6655</v>
      </c>
      <c r="AD18" s="475">
        <f t="shared" si="6"/>
        <v>-4.725782</v>
      </c>
    </row>
    <row r="19" spans="1:30" s="357" customFormat="1" ht="54.75" customHeight="1">
      <c r="A19" s="438" t="s">
        <v>30</v>
      </c>
      <c r="B19" s="439">
        <v>530</v>
      </c>
      <c r="C19" s="440">
        <v>0</v>
      </c>
      <c r="D19" s="440">
        <v>0</v>
      </c>
      <c r="E19" s="450">
        <f t="shared" si="0"/>
        <v>0</v>
      </c>
      <c r="F19" s="439">
        <v>3000</v>
      </c>
      <c r="G19" s="451">
        <v>0</v>
      </c>
      <c r="H19" s="451">
        <v>1305</v>
      </c>
      <c r="I19" s="451">
        <f t="shared" si="2"/>
        <v>-1305</v>
      </c>
      <c r="J19" s="455">
        <f t="shared" si="3"/>
        <v>0</v>
      </c>
      <c r="K19" s="456">
        <f t="shared" si="1"/>
        <v>0</v>
      </c>
      <c r="L19" s="167" t="s">
        <v>21</v>
      </c>
      <c r="M19" s="462">
        <v>0</v>
      </c>
      <c r="N19" s="167" t="s">
        <v>21</v>
      </c>
      <c r="O19" s="455">
        <v>5.734235</v>
      </c>
      <c r="P19" s="404"/>
      <c r="R19" s="414"/>
      <c r="S19" s="470">
        <v>534</v>
      </c>
      <c r="T19" s="470">
        <v>64</v>
      </c>
      <c r="U19" s="472">
        <f t="shared" si="4"/>
        <v>-64</v>
      </c>
      <c r="V19" s="470">
        <v>688</v>
      </c>
      <c r="W19" s="440">
        <f t="shared" si="5"/>
        <v>154</v>
      </c>
      <c r="X19" s="440">
        <v>88</v>
      </c>
      <c r="Y19" s="440">
        <v>88</v>
      </c>
      <c r="Z19" s="440">
        <v>0</v>
      </c>
      <c r="AA19" s="469">
        <f t="shared" si="7"/>
        <v>218</v>
      </c>
      <c r="AC19" s="441">
        <v>6.2277</v>
      </c>
      <c r="AD19" s="474">
        <f t="shared" si="6"/>
        <v>-0.4934649999999996</v>
      </c>
    </row>
    <row r="20" spans="1:30" s="357" customFormat="1" ht="54.75" customHeight="1">
      <c r="A20" s="438" t="s">
        <v>31</v>
      </c>
      <c r="B20" s="439">
        <v>265</v>
      </c>
      <c r="C20" s="440">
        <v>58</v>
      </c>
      <c r="D20" s="440">
        <v>16</v>
      </c>
      <c r="E20" s="450">
        <f t="shared" si="0"/>
        <v>0.2188679245283019</v>
      </c>
      <c r="F20" s="439">
        <v>7500</v>
      </c>
      <c r="G20" s="451">
        <v>536</v>
      </c>
      <c r="H20" s="451">
        <v>4471</v>
      </c>
      <c r="I20" s="451">
        <f t="shared" si="2"/>
        <v>-3935</v>
      </c>
      <c r="J20" s="455">
        <f t="shared" si="3"/>
        <v>0.11988369492283606</v>
      </c>
      <c r="K20" s="456">
        <f t="shared" si="1"/>
        <v>0.07146666666666666</v>
      </c>
      <c r="L20" s="167" t="s">
        <v>21</v>
      </c>
      <c r="M20" s="462">
        <v>0</v>
      </c>
      <c r="N20" s="167" t="s">
        <v>21</v>
      </c>
      <c r="O20" s="455">
        <v>1.404289</v>
      </c>
      <c r="P20" s="404"/>
      <c r="R20" s="414"/>
      <c r="S20" s="470">
        <v>354</v>
      </c>
      <c r="T20" s="470">
        <v>182</v>
      </c>
      <c r="U20" s="472">
        <f t="shared" si="4"/>
        <v>-166</v>
      </c>
      <c r="V20" s="470">
        <v>381</v>
      </c>
      <c r="W20" s="440">
        <f t="shared" si="5"/>
        <v>27</v>
      </c>
      <c r="X20" s="440">
        <v>352</v>
      </c>
      <c r="Y20" s="440">
        <v>365</v>
      </c>
      <c r="Z20" s="440">
        <v>13</v>
      </c>
      <c r="AA20" s="470">
        <f t="shared" si="7"/>
        <v>193</v>
      </c>
      <c r="AC20" s="441">
        <v>12.195459999999999</v>
      </c>
      <c r="AD20" s="475">
        <f t="shared" si="6"/>
        <v>-10.791170999999999</v>
      </c>
    </row>
    <row r="21" spans="1:30" s="357" customFormat="1" ht="54.75" customHeight="1">
      <c r="A21" s="438" t="s">
        <v>32</v>
      </c>
      <c r="B21" s="439">
        <v>640</v>
      </c>
      <c r="C21" s="440">
        <v>66</v>
      </c>
      <c r="D21" s="440">
        <v>16</v>
      </c>
      <c r="E21" s="450">
        <f t="shared" si="0"/>
        <v>0.103125</v>
      </c>
      <c r="F21" s="439">
        <v>4000</v>
      </c>
      <c r="G21" s="451">
        <v>770</v>
      </c>
      <c r="H21" s="451">
        <v>1828</v>
      </c>
      <c r="I21" s="451">
        <f t="shared" si="2"/>
        <v>-1058</v>
      </c>
      <c r="J21" s="455">
        <f t="shared" si="3"/>
        <v>0.4212253829321663</v>
      </c>
      <c r="K21" s="456">
        <f t="shared" si="1"/>
        <v>0.1925</v>
      </c>
      <c r="L21" s="167" t="s">
        <v>21</v>
      </c>
      <c r="M21" s="462">
        <v>0</v>
      </c>
      <c r="N21" s="463" t="s">
        <v>21</v>
      </c>
      <c r="O21" s="455">
        <v>0.484509</v>
      </c>
      <c r="P21" s="410"/>
      <c r="R21" s="414"/>
      <c r="S21" s="470">
        <v>881</v>
      </c>
      <c r="T21" s="470">
        <v>223</v>
      </c>
      <c r="U21" s="472">
        <f t="shared" si="4"/>
        <v>-207</v>
      </c>
      <c r="V21" s="470">
        <v>881</v>
      </c>
      <c r="W21" s="440">
        <f t="shared" si="5"/>
        <v>0</v>
      </c>
      <c r="X21" s="470">
        <v>0</v>
      </c>
      <c r="Y21" s="470">
        <v>0</v>
      </c>
      <c r="Z21" s="470">
        <v>0</v>
      </c>
      <c r="AA21" s="470">
        <f t="shared" si="7"/>
        <v>207</v>
      </c>
      <c r="AB21" s="473"/>
      <c r="AC21" s="441">
        <v>3.78</v>
      </c>
      <c r="AD21" s="475">
        <f t="shared" si="6"/>
        <v>-3.2954909999999997</v>
      </c>
    </row>
    <row r="22" spans="1:30" s="357" customFormat="1" ht="54.75" customHeight="1">
      <c r="A22" s="438" t="s">
        <v>33</v>
      </c>
      <c r="B22" s="439">
        <v>630</v>
      </c>
      <c r="C22" s="440">
        <v>0</v>
      </c>
      <c r="D22" s="440">
        <v>0</v>
      </c>
      <c r="E22" s="450">
        <f t="shared" si="0"/>
        <v>0</v>
      </c>
      <c r="F22" s="439">
        <v>1600</v>
      </c>
      <c r="G22" s="451">
        <v>5</v>
      </c>
      <c r="H22" s="451">
        <v>1350</v>
      </c>
      <c r="I22" s="451">
        <f t="shared" si="2"/>
        <v>-1345</v>
      </c>
      <c r="J22" s="455">
        <f t="shared" si="3"/>
        <v>0.003703703703703704</v>
      </c>
      <c r="K22" s="456">
        <f t="shared" si="1"/>
        <v>0.003125</v>
      </c>
      <c r="L22" s="167" t="s">
        <v>21</v>
      </c>
      <c r="M22" s="462">
        <v>0</v>
      </c>
      <c r="N22" s="463" t="s">
        <v>21</v>
      </c>
      <c r="O22" s="455">
        <v>0.691467098</v>
      </c>
      <c r="P22" s="404"/>
      <c r="R22" s="414"/>
      <c r="S22" s="470">
        <v>656</v>
      </c>
      <c r="T22" s="470">
        <v>146</v>
      </c>
      <c r="U22" s="472">
        <f t="shared" si="4"/>
        <v>-146</v>
      </c>
      <c r="V22" s="470">
        <v>1002</v>
      </c>
      <c r="W22" s="440">
        <f t="shared" si="5"/>
        <v>346</v>
      </c>
      <c r="X22" s="440">
        <v>0</v>
      </c>
      <c r="Y22" s="440">
        <v>0</v>
      </c>
      <c r="Z22" s="440">
        <v>0</v>
      </c>
      <c r="AA22" s="440">
        <f t="shared" si="7"/>
        <v>492</v>
      </c>
      <c r="AC22" s="441">
        <v>2.3566470000000006</v>
      </c>
      <c r="AD22" s="475">
        <f t="shared" si="6"/>
        <v>-1.6651799020000007</v>
      </c>
    </row>
    <row r="23" spans="1:30" s="357" customFormat="1" ht="54.75" customHeight="1">
      <c r="A23" s="438" t="s">
        <v>34</v>
      </c>
      <c r="B23" s="439">
        <v>310</v>
      </c>
      <c r="C23" s="440">
        <v>362</v>
      </c>
      <c r="D23" s="440">
        <v>32</v>
      </c>
      <c r="E23" s="450">
        <f t="shared" si="0"/>
        <v>1.167741935483871</v>
      </c>
      <c r="F23" s="439">
        <v>3000</v>
      </c>
      <c r="G23" s="451">
        <v>0</v>
      </c>
      <c r="H23" s="451">
        <v>1909</v>
      </c>
      <c r="I23" s="451">
        <f t="shared" si="2"/>
        <v>-1909</v>
      </c>
      <c r="J23" s="455">
        <f t="shared" si="3"/>
        <v>0</v>
      </c>
      <c r="K23" s="456">
        <f t="shared" si="1"/>
        <v>0</v>
      </c>
      <c r="L23" s="167" t="s">
        <v>21</v>
      </c>
      <c r="M23" s="462">
        <v>0</v>
      </c>
      <c r="N23" s="463" t="s">
        <v>21</v>
      </c>
      <c r="O23" s="455">
        <v>0.647</v>
      </c>
      <c r="P23" s="404"/>
      <c r="R23" s="414"/>
      <c r="S23" s="470">
        <v>1895</v>
      </c>
      <c r="T23" s="470">
        <v>414</v>
      </c>
      <c r="U23" s="472">
        <f t="shared" si="4"/>
        <v>-382</v>
      </c>
      <c r="V23" s="470">
        <v>1945</v>
      </c>
      <c r="W23" s="440">
        <f t="shared" si="5"/>
        <v>50</v>
      </c>
      <c r="X23" s="440">
        <v>519</v>
      </c>
      <c r="Y23" s="440">
        <v>1037</v>
      </c>
      <c r="Z23" s="440">
        <v>518</v>
      </c>
      <c r="AA23" s="470">
        <f t="shared" si="7"/>
        <v>432</v>
      </c>
      <c r="AC23" s="441">
        <v>3.1861</v>
      </c>
      <c r="AD23" s="475">
        <f t="shared" si="6"/>
        <v>-2.5391000000000004</v>
      </c>
    </row>
    <row r="24" spans="1:30" s="357" customFormat="1" ht="54.75" customHeight="1">
      <c r="A24" s="438" t="s">
        <v>35</v>
      </c>
      <c r="B24" s="439">
        <v>420</v>
      </c>
      <c r="C24" s="440">
        <v>0</v>
      </c>
      <c r="D24" s="440">
        <v>0</v>
      </c>
      <c r="E24" s="450">
        <f t="shared" si="0"/>
        <v>0</v>
      </c>
      <c r="F24" s="439">
        <v>5500</v>
      </c>
      <c r="G24" s="451">
        <v>0</v>
      </c>
      <c r="H24" s="451">
        <v>4060</v>
      </c>
      <c r="I24" s="451">
        <f t="shared" si="2"/>
        <v>-4060</v>
      </c>
      <c r="J24" s="455">
        <f t="shared" si="3"/>
        <v>0</v>
      </c>
      <c r="K24" s="456">
        <f t="shared" si="1"/>
        <v>0</v>
      </c>
      <c r="L24" s="167" t="s">
        <v>21</v>
      </c>
      <c r="M24" s="462">
        <v>0</v>
      </c>
      <c r="N24" s="463" t="s">
        <v>21</v>
      </c>
      <c r="O24" s="455">
        <v>1.450996</v>
      </c>
      <c r="P24" s="404"/>
      <c r="R24" s="414"/>
      <c r="S24" s="470">
        <v>557</v>
      </c>
      <c r="T24" s="470">
        <v>106</v>
      </c>
      <c r="U24" s="472">
        <f t="shared" si="4"/>
        <v>-106</v>
      </c>
      <c r="V24" s="470">
        <v>621</v>
      </c>
      <c r="W24" s="440">
        <f t="shared" si="5"/>
        <v>64</v>
      </c>
      <c r="X24" s="440">
        <v>3</v>
      </c>
      <c r="Y24" s="440">
        <v>7</v>
      </c>
      <c r="Z24" s="440">
        <v>4</v>
      </c>
      <c r="AA24" s="470">
        <f t="shared" si="7"/>
        <v>170</v>
      </c>
      <c r="AC24" s="441">
        <v>8.911001</v>
      </c>
      <c r="AD24" s="475">
        <f t="shared" si="6"/>
        <v>-7.460005000000001</v>
      </c>
    </row>
    <row r="25" spans="1:20" s="357" customFormat="1" ht="48.75" customHeight="1" hidden="1">
      <c r="A25" s="438" t="s">
        <v>176</v>
      </c>
      <c r="B25" s="441"/>
      <c r="C25" s="441"/>
      <c r="D25" s="441"/>
      <c r="E25" s="441"/>
      <c r="F25" s="441"/>
      <c r="G25" s="441">
        <v>0</v>
      </c>
      <c r="H25" s="441"/>
      <c r="I25" s="441"/>
      <c r="J25" s="441"/>
      <c r="K25" s="456"/>
      <c r="L25" s="439"/>
      <c r="M25" s="465"/>
      <c r="N25" s="463"/>
      <c r="O25" s="466">
        <v>0</v>
      </c>
      <c r="P25" s="404"/>
      <c r="R25" s="414"/>
      <c r="T25" s="413"/>
    </row>
    <row r="26" spans="1:16" s="357" customFormat="1" ht="48.75" customHeight="1" hidden="1">
      <c r="A26" s="438" t="s">
        <v>223</v>
      </c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62"/>
      <c r="N26" s="442"/>
      <c r="O26" s="466">
        <v>0</v>
      </c>
      <c r="P26" s="404"/>
    </row>
    <row r="27" s="357" customFormat="1" ht="14.25"/>
    <row r="28" spans="1:15" s="357" customFormat="1" ht="30.75" customHeight="1">
      <c r="A28" s="443" t="s">
        <v>224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</row>
    <row r="29" s="357" customFormat="1" ht="14.25"/>
    <row r="30" s="357" customFormat="1" ht="14.25"/>
    <row r="31" s="357" customFormat="1" ht="14.25"/>
    <row r="32" s="357" customFormat="1" ht="14.25"/>
    <row r="33" s="357" customFormat="1" ht="14.25"/>
    <row r="34" s="357" customFormat="1" ht="14.25"/>
    <row r="35" s="357" customFormat="1" ht="14.25"/>
    <row r="36" s="357" customFormat="1" ht="14.25"/>
    <row r="37" s="357" customFormat="1" ht="14.25"/>
    <row r="38" s="357" customFormat="1" ht="14.25"/>
    <row r="39" s="357" customFormat="1" ht="14.25"/>
    <row r="40" s="357" customFormat="1" ht="14.25"/>
    <row r="41" s="357" customFormat="1" ht="14.25"/>
    <row r="42" s="357" customFormat="1" ht="14.25"/>
    <row r="43" s="357" customFormat="1" ht="14.25"/>
    <row r="44" s="357" customFormat="1" ht="14.25"/>
    <row r="45" s="357" customFormat="1" ht="14.25"/>
    <row r="46" s="357" customFormat="1" ht="14.25"/>
    <row r="47" s="357" customFormat="1" ht="14.25"/>
    <row r="48" s="357" customFormat="1" ht="14.25"/>
    <row r="49" s="357" customFormat="1" ht="14.25"/>
    <row r="50" s="357" customFormat="1" ht="14.25"/>
    <row r="51" s="357" customFormat="1" ht="14.25"/>
    <row r="52" s="357" customFormat="1" ht="14.25"/>
    <row r="53" s="357" customFormat="1" ht="14.25"/>
    <row r="54" s="357" customFormat="1" ht="14.25"/>
    <row r="55" s="357" customFormat="1" ht="14.25"/>
    <row r="56" s="357" customFormat="1" ht="14.25"/>
    <row r="57" s="357" customFormat="1" ht="14.25"/>
    <row r="58" s="357" customFormat="1" ht="14.25"/>
  </sheetData>
  <sheetProtection/>
  <mergeCells count="18">
    <mergeCell ref="A2:P2"/>
    <mergeCell ref="A3:P3"/>
    <mergeCell ref="A28:O28"/>
    <mergeCell ref="A4:A7"/>
    <mergeCell ref="B6:B7"/>
    <mergeCell ref="C6:C7"/>
    <mergeCell ref="E6:E7"/>
    <mergeCell ref="F6:F7"/>
    <mergeCell ref="G6:G7"/>
    <mergeCell ref="K6:K7"/>
    <mergeCell ref="L6:L7"/>
    <mergeCell ref="M6:M7"/>
    <mergeCell ref="N6:N7"/>
    <mergeCell ref="O4:O7"/>
    <mergeCell ref="P4:P7"/>
    <mergeCell ref="B4:E5"/>
    <mergeCell ref="L4:N5"/>
    <mergeCell ref="F4:K5"/>
  </mergeCells>
  <printOptions/>
  <pageMargins left="0.5902777777777778" right="0.4722222222222222" top="0.7868055555555555" bottom="1.3777777777777778" header="0.5" footer="0.5"/>
  <pageSetup fitToHeight="0" fitToWidth="1" horizontalDpi="600" verticalDpi="600" orientation="portrait" paperSize="9" scale="52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55" zoomScaleNormal="55" zoomScaleSheetLayoutView="100" workbookViewId="0" topLeftCell="A1">
      <pane ySplit="7" topLeftCell="A8" activePane="bottomLeft" state="frozen"/>
      <selection pane="bottomLeft" activeCell="F9" sqref="F9"/>
    </sheetView>
  </sheetViews>
  <sheetFormatPr defaultColWidth="9.00390625" defaultRowHeight="15"/>
  <cols>
    <col min="1" max="1" width="18.140625" style="254" customWidth="1"/>
    <col min="2" max="2" width="14.140625" style="254" customWidth="1"/>
    <col min="3" max="3" width="15.28125" style="254" customWidth="1"/>
    <col min="4" max="4" width="15.421875" style="254" customWidth="1"/>
    <col min="5" max="5" width="13.140625" style="254" customWidth="1"/>
    <col min="6" max="6" width="13.8515625" style="254" customWidth="1"/>
    <col min="7" max="7" width="15.28125" style="254" customWidth="1"/>
    <col min="8" max="8" width="14.140625" style="254" customWidth="1"/>
    <col min="9" max="9" width="13.421875" style="254" customWidth="1"/>
    <col min="10" max="10" width="13.8515625" style="254" customWidth="1"/>
    <col min="11" max="11" width="15.28125" style="254" customWidth="1"/>
    <col min="12" max="12" width="9.421875" style="254" hidden="1" customWidth="1"/>
    <col min="13" max="13" width="10.421875" style="254" bestFit="1" customWidth="1"/>
    <col min="14" max="14" width="12.57421875" style="254" bestFit="1" customWidth="1"/>
    <col min="15" max="15" width="10.140625" style="254" bestFit="1" customWidth="1"/>
    <col min="16" max="16" width="9.421875" style="254" bestFit="1" customWidth="1"/>
    <col min="17" max="17" width="12.57421875" style="254" bestFit="1" customWidth="1"/>
    <col min="18" max="18" width="9.57421875" style="254" bestFit="1" customWidth="1"/>
    <col min="19" max="255" width="9.00390625" style="254" customWidth="1"/>
  </cols>
  <sheetData>
    <row r="1" s="357" customFormat="1" ht="39.75" customHeight="1">
      <c r="A1" s="359" t="s">
        <v>225</v>
      </c>
    </row>
    <row r="2" spans="1:12" s="357" customFormat="1" ht="82.5" customHeight="1">
      <c r="A2" s="360" t="s">
        <v>226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s="357" customFormat="1" ht="30.75" customHeight="1">
      <c r="A3" s="361" t="s">
        <v>227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2" s="358" customFormat="1" ht="24.75" customHeight="1">
      <c r="A4" s="363" t="s">
        <v>228</v>
      </c>
      <c r="B4" s="364" t="s">
        <v>229</v>
      </c>
      <c r="C4" s="365"/>
      <c r="D4" s="366"/>
      <c r="E4" s="364" t="s">
        <v>195</v>
      </c>
      <c r="F4" s="387"/>
      <c r="G4" s="388"/>
      <c r="H4" s="389" t="s">
        <v>230</v>
      </c>
      <c r="I4" s="363"/>
      <c r="J4" s="363"/>
      <c r="K4" s="363" t="s">
        <v>231</v>
      </c>
      <c r="L4" s="397" t="s">
        <v>232</v>
      </c>
    </row>
    <row r="5" spans="1:12" s="358" customFormat="1" ht="27.75" customHeight="1">
      <c r="A5" s="367"/>
      <c r="B5" s="368"/>
      <c r="C5" s="369"/>
      <c r="D5" s="370"/>
      <c r="E5" s="390"/>
      <c r="F5" s="391"/>
      <c r="G5" s="392"/>
      <c r="H5" s="389"/>
      <c r="I5" s="363"/>
      <c r="J5" s="363"/>
      <c r="K5" s="367"/>
      <c r="L5" s="397"/>
    </row>
    <row r="6" spans="1:12" s="358" customFormat="1" ht="36.75" customHeight="1">
      <c r="A6" s="367"/>
      <c r="B6" s="371" t="s">
        <v>233</v>
      </c>
      <c r="C6" s="371" t="s">
        <v>234</v>
      </c>
      <c r="D6" s="372" t="s">
        <v>235</v>
      </c>
      <c r="E6" s="363" t="s">
        <v>236</v>
      </c>
      <c r="F6" s="371" t="s">
        <v>204</v>
      </c>
      <c r="G6" s="363" t="s">
        <v>237</v>
      </c>
      <c r="H6" s="389" t="s">
        <v>238</v>
      </c>
      <c r="I6" s="371" t="s">
        <v>204</v>
      </c>
      <c r="J6" s="398" t="s">
        <v>237</v>
      </c>
      <c r="K6" s="367"/>
      <c r="L6" s="397"/>
    </row>
    <row r="7" spans="1:12" s="358" customFormat="1" ht="52.5" customHeight="1">
      <c r="A7" s="367"/>
      <c r="B7" s="367"/>
      <c r="C7" s="367"/>
      <c r="D7" s="373"/>
      <c r="E7" s="363"/>
      <c r="F7" s="363"/>
      <c r="G7" s="363"/>
      <c r="H7" s="389"/>
      <c r="I7" s="363"/>
      <c r="J7" s="398"/>
      <c r="K7" s="367"/>
      <c r="L7" s="397"/>
    </row>
    <row r="8" spans="1:12" s="358" customFormat="1" ht="30.75" customHeight="1">
      <c r="A8" s="374" t="s">
        <v>239</v>
      </c>
      <c r="B8" s="375" t="s">
        <v>185</v>
      </c>
      <c r="C8" s="375" t="s">
        <v>186</v>
      </c>
      <c r="D8" s="375" t="s">
        <v>16</v>
      </c>
      <c r="E8" s="375" t="s">
        <v>188</v>
      </c>
      <c r="F8" s="375" t="s">
        <v>240</v>
      </c>
      <c r="G8" s="375" t="s">
        <v>17</v>
      </c>
      <c r="H8" s="375" t="s">
        <v>208</v>
      </c>
      <c r="I8" s="375" t="s">
        <v>210</v>
      </c>
      <c r="J8" s="375" t="s">
        <v>18</v>
      </c>
      <c r="K8" s="375" t="s">
        <v>241</v>
      </c>
      <c r="L8" s="375" t="s">
        <v>212</v>
      </c>
    </row>
    <row r="9" spans="1:18" s="358" customFormat="1" ht="48.75" customHeight="1">
      <c r="A9" s="376" t="s">
        <v>242</v>
      </c>
      <c r="B9" s="377">
        <f>B10</f>
        <v>22755</v>
      </c>
      <c r="C9" s="378">
        <f>SUM(C11:C24)</f>
        <v>30033</v>
      </c>
      <c r="D9" s="379">
        <f aca="true" t="shared" si="0" ref="D9:D24">C9/B9</f>
        <v>1.3198417930125248</v>
      </c>
      <c r="E9" s="377">
        <f>E10</f>
        <v>90000</v>
      </c>
      <c r="F9" s="377">
        <f>F10</f>
        <v>99513</v>
      </c>
      <c r="G9" s="393">
        <f aca="true" t="shared" si="1" ref="G9:G24">F9/E9</f>
        <v>1.1057</v>
      </c>
      <c r="H9" s="377">
        <f>H10</f>
        <v>5696</v>
      </c>
      <c r="I9" s="377">
        <f>I10</f>
        <v>6046</v>
      </c>
      <c r="J9" s="399">
        <f>I9/H9</f>
        <v>1.0614466292134832</v>
      </c>
      <c r="K9" s="400">
        <f>K10</f>
        <v>234.15464599999999</v>
      </c>
      <c r="L9" s="401"/>
      <c r="Q9" s="416"/>
      <c r="R9" s="417"/>
    </row>
    <row r="10" spans="1:18" s="357" customFormat="1" ht="48.75" customHeight="1">
      <c r="A10" s="380" t="s">
        <v>243</v>
      </c>
      <c r="B10" s="381">
        <f>SUM(B11:B24)</f>
        <v>22755</v>
      </c>
      <c r="C10" s="381">
        <f>SUM(C11:C24)</f>
        <v>30033</v>
      </c>
      <c r="D10" s="382">
        <f t="shared" si="0"/>
        <v>1.3198417930125248</v>
      </c>
      <c r="E10" s="381">
        <f>SUM(E11:E25)</f>
        <v>90000</v>
      </c>
      <c r="F10" s="381">
        <f>SUM(F11:F25)</f>
        <v>99513</v>
      </c>
      <c r="G10" s="394">
        <f t="shared" si="1"/>
        <v>1.1057</v>
      </c>
      <c r="H10" s="381">
        <f>SUM(H11:H26)</f>
        <v>5696</v>
      </c>
      <c r="I10" s="381">
        <f>SUM(I11:I24)</f>
        <v>6046</v>
      </c>
      <c r="J10" s="402">
        <f>I10/H10</f>
        <v>1.0614466292134832</v>
      </c>
      <c r="K10" s="403">
        <f>SUM(K11:K26)</f>
        <v>234.15464599999999</v>
      </c>
      <c r="L10" s="404"/>
      <c r="M10" s="412"/>
      <c r="P10" s="413"/>
      <c r="R10" s="418"/>
    </row>
    <row r="11" spans="1:17" s="357" customFormat="1" ht="48.75" customHeight="1">
      <c r="A11" s="380" t="s">
        <v>244</v>
      </c>
      <c r="B11" s="381">
        <v>8000</v>
      </c>
      <c r="C11" s="383">
        <v>10838</v>
      </c>
      <c r="D11" s="382">
        <f t="shared" si="0"/>
        <v>1.35475</v>
      </c>
      <c r="E11" s="381">
        <v>11793</v>
      </c>
      <c r="F11" s="381">
        <v>13427</v>
      </c>
      <c r="G11" s="394">
        <f t="shared" si="1"/>
        <v>1.138556770965827</v>
      </c>
      <c r="H11" s="395">
        <v>3538</v>
      </c>
      <c r="I11" s="405">
        <v>3538</v>
      </c>
      <c r="J11" s="402">
        <f>I11/H11</f>
        <v>1</v>
      </c>
      <c r="K11" s="406">
        <v>59.969454000000006</v>
      </c>
      <c r="L11" s="404"/>
      <c r="N11" s="414"/>
      <c r="P11" s="413"/>
      <c r="Q11" s="413"/>
    </row>
    <row r="12" spans="1:17" s="357" customFormat="1" ht="48.75" customHeight="1">
      <c r="A12" s="380" t="s">
        <v>245</v>
      </c>
      <c r="B12" s="381">
        <v>5030</v>
      </c>
      <c r="C12" s="383">
        <v>5595</v>
      </c>
      <c r="D12" s="382">
        <f t="shared" si="0"/>
        <v>1.1123260437375746</v>
      </c>
      <c r="E12" s="381">
        <v>9430</v>
      </c>
      <c r="F12" s="381">
        <v>10189</v>
      </c>
      <c r="G12" s="394">
        <f t="shared" si="1"/>
        <v>1.0804878048780489</v>
      </c>
      <c r="H12" s="395" t="s">
        <v>21</v>
      </c>
      <c r="I12" s="405">
        <v>0</v>
      </c>
      <c r="J12" s="402" t="s">
        <v>21</v>
      </c>
      <c r="K12" s="406">
        <v>34.581277</v>
      </c>
      <c r="L12" s="404"/>
      <c r="N12" s="414"/>
      <c r="P12" s="413"/>
      <c r="Q12" s="413"/>
    </row>
    <row r="13" spans="1:17" s="357" customFormat="1" ht="48.75" customHeight="1">
      <c r="A13" s="380" t="s">
        <v>246</v>
      </c>
      <c r="B13" s="381">
        <v>1795</v>
      </c>
      <c r="C13" s="383">
        <v>2016</v>
      </c>
      <c r="D13" s="382">
        <f t="shared" si="0"/>
        <v>1.1231197771587744</v>
      </c>
      <c r="E13" s="381">
        <v>3319</v>
      </c>
      <c r="F13" s="381">
        <v>4265</v>
      </c>
      <c r="G13" s="394">
        <f t="shared" si="1"/>
        <v>1.2850256101235311</v>
      </c>
      <c r="H13" s="395">
        <v>1600</v>
      </c>
      <c r="I13" s="405">
        <v>1950</v>
      </c>
      <c r="J13" s="402">
        <f>I13/H13</f>
        <v>1.21875</v>
      </c>
      <c r="K13" s="406">
        <v>12.759221</v>
      </c>
      <c r="L13" s="404"/>
      <c r="N13" s="414"/>
      <c r="O13" s="415"/>
      <c r="P13" s="413"/>
      <c r="Q13" s="413"/>
    </row>
    <row r="14" spans="1:17" s="357" customFormat="1" ht="48.75" customHeight="1">
      <c r="A14" s="380" t="s">
        <v>247</v>
      </c>
      <c r="B14" s="381">
        <v>300</v>
      </c>
      <c r="C14" s="383">
        <v>308</v>
      </c>
      <c r="D14" s="382">
        <f t="shared" si="0"/>
        <v>1.0266666666666666</v>
      </c>
      <c r="E14" s="381">
        <v>5857</v>
      </c>
      <c r="F14" s="381">
        <v>9785</v>
      </c>
      <c r="G14" s="394">
        <f t="shared" si="1"/>
        <v>1.6706505036708212</v>
      </c>
      <c r="H14" s="395" t="s">
        <v>21</v>
      </c>
      <c r="I14" s="405">
        <v>0</v>
      </c>
      <c r="J14" s="402" t="s">
        <v>21</v>
      </c>
      <c r="K14" s="406">
        <v>14.775875</v>
      </c>
      <c r="L14" s="407"/>
      <c r="N14" s="414"/>
      <c r="P14" s="413"/>
      <c r="Q14" s="413"/>
    </row>
    <row r="15" spans="1:17" s="357" customFormat="1" ht="48.75" customHeight="1">
      <c r="A15" s="380" t="s">
        <v>248</v>
      </c>
      <c r="B15" s="381">
        <v>559</v>
      </c>
      <c r="C15" s="383">
        <v>573</v>
      </c>
      <c r="D15" s="382">
        <f t="shared" si="0"/>
        <v>1.0250447227191413</v>
      </c>
      <c r="E15" s="381">
        <v>3023</v>
      </c>
      <c r="F15" s="381">
        <v>3148</v>
      </c>
      <c r="G15" s="394">
        <f t="shared" si="1"/>
        <v>1.0413496526629176</v>
      </c>
      <c r="H15" s="395">
        <v>558</v>
      </c>
      <c r="I15" s="405">
        <v>558</v>
      </c>
      <c r="J15" s="408">
        <f>I15/H15</f>
        <v>1</v>
      </c>
      <c r="K15" s="406">
        <v>10.431871000000001</v>
      </c>
      <c r="L15" s="404"/>
      <c r="N15" s="414"/>
      <c r="P15" s="413"/>
      <c r="Q15" s="413"/>
    </row>
    <row r="16" spans="1:17" s="357" customFormat="1" ht="48.75" customHeight="1">
      <c r="A16" s="380" t="s">
        <v>249</v>
      </c>
      <c r="B16" s="381">
        <v>400</v>
      </c>
      <c r="C16" s="383">
        <v>489</v>
      </c>
      <c r="D16" s="382">
        <f t="shared" si="0"/>
        <v>1.2225</v>
      </c>
      <c r="E16" s="381">
        <v>7339</v>
      </c>
      <c r="F16" s="381">
        <v>7398</v>
      </c>
      <c r="G16" s="394">
        <f t="shared" si="1"/>
        <v>1.0080392424035973</v>
      </c>
      <c r="H16" s="395" t="s">
        <v>21</v>
      </c>
      <c r="I16" s="405">
        <v>0</v>
      </c>
      <c r="J16" s="395" t="s">
        <v>21</v>
      </c>
      <c r="K16" s="406">
        <v>6.069348000000001</v>
      </c>
      <c r="L16" s="404"/>
      <c r="N16" s="414"/>
      <c r="P16" s="413"/>
      <c r="Q16" s="413"/>
    </row>
    <row r="17" spans="1:17" s="357" customFormat="1" ht="48.75" customHeight="1">
      <c r="A17" s="380" t="s">
        <v>250</v>
      </c>
      <c r="B17" s="381">
        <v>2925</v>
      </c>
      <c r="C17" s="383">
        <v>3670</v>
      </c>
      <c r="D17" s="382">
        <f t="shared" si="0"/>
        <v>1.2547008547008547</v>
      </c>
      <c r="E17" s="381">
        <v>2109</v>
      </c>
      <c r="F17" s="381">
        <v>2289</v>
      </c>
      <c r="G17" s="394">
        <f t="shared" si="1"/>
        <v>1.085348506401138</v>
      </c>
      <c r="H17" s="395" t="s">
        <v>21</v>
      </c>
      <c r="I17" s="405">
        <v>0</v>
      </c>
      <c r="J17" s="395" t="s">
        <v>21</v>
      </c>
      <c r="K17" s="406">
        <v>7.536391</v>
      </c>
      <c r="L17" s="404"/>
      <c r="N17" s="414"/>
      <c r="P17" s="413"/>
      <c r="Q17" s="413"/>
    </row>
    <row r="18" spans="1:17" s="357" customFormat="1" ht="48.75" customHeight="1">
      <c r="A18" s="380" t="s">
        <v>251</v>
      </c>
      <c r="B18" s="381">
        <v>150</v>
      </c>
      <c r="C18" s="383">
        <v>514</v>
      </c>
      <c r="D18" s="382">
        <f t="shared" si="0"/>
        <v>3.4266666666666667</v>
      </c>
      <c r="E18" s="381">
        <v>9000</v>
      </c>
      <c r="F18" s="381">
        <v>9919</v>
      </c>
      <c r="G18" s="394">
        <f t="shared" si="1"/>
        <v>1.102111111111111</v>
      </c>
      <c r="H18" s="395" t="s">
        <v>21</v>
      </c>
      <c r="I18" s="409">
        <v>0</v>
      </c>
      <c r="J18" s="402" t="s">
        <v>21</v>
      </c>
      <c r="K18" s="406">
        <v>15.0129</v>
      </c>
      <c r="L18" s="404"/>
      <c r="N18" s="414"/>
      <c r="P18" s="413"/>
      <c r="Q18" s="413"/>
    </row>
    <row r="19" spans="1:17" s="357" customFormat="1" ht="48.75" customHeight="1">
      <c r="A19" s="384" t="s">
        <v>30</v>
      </c>
      <c r="B19" s="381">
        <v>731</v>
      </c>
      <c r="C19" s="383">
        <v>909</v>
      </c>
      <c r="D19" s="382">
        <f t="shared" si="0"/>
        <v>1.2435020519835842</v>
      </c>
      <c r="E19" s="381">
        <v>11092</v>
      </c>
      <c r="F19" s="381">
        <v>12000</v>
      </c>
      <c r="G19" s="394">
        <f t="shared" si="1"/>
        <v>1.0818608005769925</v>
      </c>
      <c r="H19" s="395" t="s">
        <v>21</v>
      </c>
      <c r="I19" s="405">
        <v>0</v>
      </c>
      <c r="J19" s="395" t="s">
        <v>21</v>
      </c>
      <c r="K19" s="406">
        <v>9.0779</v>
      </c>
      <c r="L19" s="404"/>
      <c r="N19" s="414"/>
      <c r="P19" s="413"/>
      <c r="Q19" s="413"/>
    </row>
    <row r="20" spans="1:17" s="357" customFormat="1" ht="48.75" customHeight="1">
      <c r="A20" s="380" t="s">
        <v>252</v>
      </c>
      <c r="B20" s="381">
        <v>217</v>
      </c>
      <c r="C20" s="383">
        <v>530</v>
      </c>
      <c r="D20" s="382">
        <f t="shared" si="0"/>
        <v>2.442396313364055</v>
      </c>
      <c r="E20" s="381">
        <v>7188</v>
      </c>
      <c r="F20" s="381">
        <v>7297</v>
      </c>
      <c r="G20" s="394">
        <f t="shared" si="1"/>
        <v>1.0151641624930439</v>
      </c>
      <c r="H20" s="395" t="s">
        <v>21</v>
      </c>
      <c r="I20" s="405">
        <v>0</v>
      </c>
      <c r="J20" s="395" t="s">
        <v>21</v>
      </c>
      <c r="K20" s="406">
        <v>22.849327</v>
      </c>
      <c r="L20" s="404"/>
      <c r="N20" s="414"/>
      <c r="P20" s="413"/>
      <c r="Q20" s="413"/>
    </row>
    <row r="21" spans="1:17" s="357" customFormat="1" ht="48.75" customHeight="1">
      <c r="A21" s="380" t="s">
        <v>253</v>
      </c>
      <c r="B21" s="381">
        <v>830</v>
      </c>
      <c r="C21" s="383">
        <v>933</v>
      </c>
      <c r="D21" s="382">
        <f t="shared" si="0"/>
        <v>1.1240963855421686</v>
      </c>
      <c r="E21" s="381">
        <v>4658</v>
      </c>
      <c r="F21" s="381">
        <v>5218</v>
      </c>
      <c r="G21" s="394">
        <f t="shared" si="1"/>
        <v>1.120223271790468</v>
      </c>
      <c r="H21" s="395" t="s">
        <v>21</v>
      </c>
      <c r="I21" s="405">
        <v>0</v>
      </c>
      <c r="J21" s="402" t="s">
        <v>21</v>
      </c>
      <c r="K21" s="406">
        <v>6.549288</v>
      </c>
      <c r="L21" s="410"/>
      <c r="N21" s="414"/>
      <c r="P21" s="413"/>
      <c r="Q21" s="413"/>
    </row>
    <row r="22" spans="1:17" s="357" customFormat="1" ht="48.75" customHeight="1">
      <c r="A22" s="380" t="s">
        <v>254</v>
      </c>
      <c r="B22" s="381">
        <v>330</v>
      </c>
      <c r="C22" s="383">
        <v>561</v>
      </c>
      <c r="D22" s="382">
        <f t="shared" si="0"/>
        <v>1.7</v>
      </c>
      <c r="E22" s="381">
        <v>5192</v>
      </c>
      <c r="F22" s="396">
        <v>5321</v>
      </c>
      <c r="G22" s="394">
        <f t="shared" si="1"/>
        <v>1.0248459167950694</v>
      </c>
      <c r="H22" s="395" t="s">
        <v>21</v>
      </c>
      <c r="I22" s="405">
        <v>0</v>
      </c>
      <c r="J22" s="402" t="s">
        <v>21</v>
      </c>
      <c r="K22" s="406">
        <v>4.9129</v>
      </c>
      <c r="L22" s="404"/>
      <c r="N22" s="414"/>
      <c r="P22" s="413"/>
      <c r="Q22" s="413"/>
    </row>
    <row r="23" spans="1:17" s="357" customFormat="1" ht="48.75" customHeight="1">
      <c r="A23" s="380" t="s">
        <v>255</v>
      </c>
      <c r="B23" s="381">
        <v>638</v>
      </c>
      <c r="C23" s="383">
        <v>2210</v>
      </c>
      <c r="D23" s="382">
        <f t="shared" si="0"/>
        <v>3.4639498432601883</v>
      </c>
      <c r="E23" s="381">
        <v>3500</v>
      </c>
      <c r="F23" s="396">
        <v>2463</v>
      </c>
      <c r="G23" s="394">
        <f t="shared" si="1"/>
        <v>0.7037142857142857</v>
      </c>
      <c r="H23" s="395" t="s">
        <v>21</v>
      </c>
      <c r="I23" s="405">
        <v>0</v>
      </c>
      <c r="J23" s="402" t="s">
        <v>21</v>
      </c>
      <c r="K23" s="406">
        <v>6.517885</v>
      </c>
      <c r="L23" s="404"/>
      <c r="N23" s="414"/>
      <c r="P23" s="413"/>
      <c r="Q23" s="413"/>
    </row>
    <row r="24" spans="1:17" s="357" customFormat="1" ht="48.75" customHeight="1">
      <c r="A24" s="380" t="s">
        <v>256</v>
      </c>
      <c r="B24" s="381">
        <v>850</v>
      </c>
      <c r="C24" s="383">
        <v>887</v>
      </c>
      <c r="D24" s="382">
        <f t="shared" si="0"/>
        <v>1.0435294117647058</v>
      </c>
      <c r="E24" s="381">
        <v>6500</v>
      </c>
      <c r="F24" s="396">
        <v>6794</v>
      </c>
      <c r="G24" s="394">
        <f t="shared" si="1"/>
        <v>1.0452307692307692</v>
      </c>
      <c r="H24" s="395" t="s">
        <v>21</v>
      </c>
      <c r="I24" s="405">
        <v>0</v>
      </c>
      <c r="J24" s="402" t="s">
        <v>21</v>
      </c>
      <c r="K24" s="406">
        <v>23.111009</v>
      </c>
      <c r="L24" s="404"/>
      <c r="N24" s="414"/>
      <c r="P24" s="413"/>
      <c r="Q24" s="413"/>
    </row>
    <row r="25" spans="1:17" s="357" customFormat="1" ht="48.75" customHeight="1">
      <c r="A25" s="380" t="s">
        <v>257</v>
      </c>
      <c r="B25" s="385"/>
      <c r="C25" s="385"/>
      <c r="D25" s="385"/>
      <c r="E25" s="385"/>
      <c r="F25" s="385"/>
      <c r="G25" s="394"/>
      <c r="H25" s="381"/>
      <c r="I25" s="411"/>
      <c r="J25" s="402"/>
      <c r="K25" s="406"/>
      <c r="L25" s="404"/>
      <c r="N25" s="414"/>
      <c r="P25" s="413"/>
      <c r="Q25" s="413"/>
    </row>
    <row r="26" spans="1:12" s="357" customFormat="1" ht="48.75" customHeight="1">
      <c r="A26" s="380" t="s">
        <v>258</v>
      </c>
      <c r="B26" s="386"/>
      <c r="C26" s="386"/>
      <c r="D26" s="386"/>
      <c r="E26" s="386"/>
      <c r="F26" s="386"/>
      <c r="G26" s="386"/>
      <c r="H26" s="386"/>
      <c r="I26" s="405"/>
      <c r="J26" s="386"/>
      <c r="K26" s="406"/>
      <c r="L26" s="404"/>
    </row>
    <row r="27" s="357" customFormat="1" ht="14.25"/>
    <row r="28" s="357" customFormat="1" ht="14.25"/>
    <row r="29" s="357" customFormat="1" ht="14.25"/>
    <row r="30" s="357" customFormat="1" ht="14.25"/>
    <row r="31" s="357" customFormat="1" ht="14.25"/>
    <row r="32" s="357" customFormat="1" ht="14.25"/>
    <row r="33" s="357" customFormat="1" ht="14.25"/>
    <row r="34" s="357" customFormat="1" ht="14.25"/>
    <row r="35" s="357" customFormat="1" ht="14.25"/>
    <row r="36" s="357" customFormat="1" ht="14.25"/>
    <row r="37" s="357" customFormat="1" ht="14.25"/>
    <row r="38" s="357" customFormat="1" ht="14.25"/>
    <row r="39" s="357" customFormat="1" ht="14.25"/>
    <row r="40" s="357" customFormat="1" ht="14.25"/>
    <row r="41" s="357" customFormat="1" ht="14.25"/>
    <row r="42" s="357" customFormat="1" ht="14.25"/>
    <row r="43" s="357" customFormat="1" ht="14.25"/>
    <row r="44" s="357" customFormat="1" ht="14.25"/>
    <row r="45" s="357" customFormat="1" ht="14.25"/>
    <row r="46" s="357" customFormat="1" ht="14.25"/>
    <row r="47" s="357" customFormat="1" ht="14.25"/>
    <row r="48" s="357" customFormat="1" ht="14.25"/>
    <row r="49" s="357" customFormat="1" ht="14.25"/>
    <row r="50" s="357" customFormat="1" ht="14.25"/>
    <row r="51" s="357" customFormat="1" ht="14.25"/>
    <row r="52" s="357" customFormat="1" ht="14.25"/>
    <row r="53" s="357" customFormat="1" ht="14.25"/>
    <row r="54" s="357" customFormat="1" ht="14.25"/>
    <row r="55" s="357" customFormat="1" ht="14.25"/>
    <row r="56" s="357" customFormat="1" ht="14.25"/>
    <row r="57" s="357" customFormat="1" ht="14.25"/>
    <row r="58" s="357" customFormat="1" ht="14.25"/>
  </sheetData>
  <sheetProtection/>
  <mergeCells count="17">
    <mergeCell ref="A2:L2"/>
    <mergeCell ref="A3:L3"/>
    <mergeCell ref="A4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4:K7"/>
    <mergeCell ref="L4:L7"/>
    <mergeCell ref="B4:D5"/>
    <mergeCell ref="E4:G5"/>
    <mergeCell ref="H4:J5"/>
  </mergeCells>
  <printOptions/>
  <pageMargins left="0.5902777777777778" right="0.4722222222222222" top="0.7868055555555555" bottom="1.3777777777777778" header="0.5" footer="0.5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dfsdf</dc:creator>
  <cp:keywords/>
  <dc:description/>
  <cp:lastModifiedBy>筱</cp:lastModifiedBy>
  <cp:lastPrinted>2018-10-12T17:13:57Z</cp:lastPrinted>
  <dcterms:created xsi:type="dcterms:W3CDTF">2018-04-28T11:57:29Z</dcterms:created>
  <dcterms:modified xsi:type="dcterms:W3CDTF">2023-04-20T09:38:34Z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54534E134EB5433AA3096087D6C8F0DF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